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4"/>
  <workbookPr codeName="ThisWorkbook"/>
  <mc:AlternateContent xmlns:mc="http://schemas.openxmlformats.org/markup-compatibility/2006">
    <mc:Choice Requires="x15">
      <x15ac:absPath xmlns:x15ac="http://schemas.microsoft.com/office/spreadsheetml/2010/11/ac" url="/Users/cyrillechery/Downloads/"/>
    </mc:Choice>
  </mc:AlternateContent>
  <xr:revisionPtr revIDLastSave="0" documentId="13_ncr:1_{2B3CBA2D-CC65-3F4E-93DC-780B97F13CC4}" xr6:coauthVersionLast="47" xr6:coauthVersionMax="47" xr10:uidLastSave="{00000000-0000-0000-0000-000000000000}"/>
  <workbookProtection workbookAlgorithmName="SHA-512" workbookHashValue="z2KAqnctHtQzBwUPYEaUWDBYxgjVpOJ98YfR0EL6OEv3vDC0nHOpYbD1fdrWbtEBZu6Op1DCrGcmHJ3StX0n/w==" workbookSaltValue="rS4HK5KnwPLHdCi8U+gTCQ==" workbookSpinCount="100000" lockStructure="1"/>
  <bookViews>
    <workbookView xWindow="0" yWindow="500" windowWidth="28800" windowHeight="15760" tabRatio="786" activeTab="3" xr2:uid="{00000000-000D-0000-FFFF-FFFF00000000}"/>
  </bookViews>
  <sheets>
    <sheet name="Invest'Aide" sheetId="21" r:id="rId1"/>
    <sheet name="Paramètres" sheetId="15" r:id="rId2"/>
    <sheet name="Emprunteur" sheetId="16" r:id="rId3"/>
    <sheet name="Simulation" sheetId="9" r:id="rId4"/>
    <sheet name="Comparatif fiscal" sheetId="19" r:id="rId5"/>
    <sheet name="Détail trésorerie" sheetId="17" r:id="rId6"/>
    <sheet name="Détail fiscalité" sheetId="18" r:id="rId7"/>
  </sheets>
  <definedNames>
    <definedName name="solver_adj" localSheetId="3" hidden="1">Simulation!$M$14</definedName>
    <definedName name="solver_cvg" localSheetId="3" hidden="1">0.0001</definedName>
    <definedName name="solver_drv" localSheetId="3" hidden="1">2</definedName>
    <definedName name="solver_eng" localSheetId="3" hidden="1">1</definedName>
    <definedName name="solver_est" localSheetId="3" hidden="1">1</definedName>
    <definedName name="solver_itr" localSheetId="3" hidden="1">2147483647</definedName>
    <definedName name="solver_mip" localSheetId="3" hidden="1">2147483647</definedName>
    <definedName name="solver_mni" localSheetId="3" hidden="1">30</definedName>
    <definedName name="solver_mrt" localSheetId="3" hidden="1">0.075</definedName>
    <definedName name="solver_msl" localSheetId="3" hidden="1">2</definedName>
    <definedName name="solver_neg" localSheetId="3" hidden="1">2</definedName>
    <definedName name="solver_nod" localSheetId="3" hidden="1">2147483647</definedName>
    <definedName name="solver_num" localSheetId="3" hidden="1">0</definedName>
    <definedName name="solver_nwt" localSheetId="3" hidden="1">1</definedName>
    <definedName name="solver_opt" localSheetId="3" hidden="1">Simulation!$M$13</definedName>
    <definedName name="solver_pre" localSheetId="3" hidden="1">0.000001</definedName>
    <definedName name="solver_rbv" localSheetId="3" hidden="1">2</definedName>
    <definedName name="solver_rlx" localSheetId="3" hidden="1">2</definedName>
    <definedName name="solver_rsd" localSheetId="3" hidden="1">0</definedName>
    <definedName name="solver_scl" localSheetId="3" hidden="1">2</definedName>
    <definedName name="solver_sho" localSheetId="3" hidden="1">2</definedName>
    <definedName name="solver_ssz" localSheetId="3" hidden="1">100</definedName>
    <definedName name="solver_tim" localSheetId="3" hidden="1">2147483647</definedName>
    <definedName name="solver_tol" localSheetId="3" hidden="1">0.01</definedName>
    <definedName name="solver_typ" localSheetId="3" hidden="1">3</definedName>
    <definedName name="solver_val" localSheetId="3" hidden="1">0</definedName>
    <definedName name="solver_ver" localSheetId="3" hidden="1">3</definedName>
    <definedName name="_xlnm.Print_Area" localSheetId="3">Simulation!$B$2:$F$44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" i="18" l="1"/>
  <c r="Q9" i="18"/>
  <c r="R9" i="18"/>
  <c r="P10" i="18"/>
  <c r="Q10" i="18"/>
  <c r="R10" i="18"/>
  <c r="P11" i="18"/>
  <c r="Q11" i="18"/>
  <c r="R11" i="18"/>
  <c r="P12" i="18"/>
  <c r="Q12" i="18"/>
  <c r="R12" i="18"/>
  <c r="P13" i="18"/>
  <c r="Q13" i="18"/>
  <c r="R13" i="18"/>
  <c r="P14" i="18"/>
  <c r="Q14" i="18"/>
  <c r="R14" i="18"/>
  <c r="P15" i="18"/>
  <c r="Q15" i="18"/>
  <c r="R15" i="18"/>
  <c r="P16" i="18"/>
  <c r="Q16" i="18"/>
  <c r="R16" i="18"/>
  <c r="P17" i="18"/>
  <c r="Q17" i="18"/>
  <c r="R17" i="18"/>
  <c r="P18" i="18"/>
  <c r="Q18" i="18"/>
  <c r="R18" i="18"/>
  <c r="P19" i="18"/>
  <c r="Q19" i="18"/>
  <c r="R19" i="18"/>
  <c r="P20" i="18"/>
  <c r="Q20" i="18"/>
  <c r="R20" i="18"/>
  <c r="P21" i="18"/>
  <c r="Q21" i="18"/>
  <c r="R21" i="18"/>
  <c r="P22" i="18"/>
  <c r="Q22" i="18"/>
  <c r="R22" i="18"/>
  <c r="P23" i="18"/>
  <c r="Q23" i="18"/>
  <c r="R23" i="18"/>
  <c r="P24" i="18"/>
  <c r="Q24" i="18"/>
  <c r="R24" i="18"/>
  <c r="P25" i="18"/>
  <c r="Q25" i="18"/>
  <c r="R25" i="18"/>
  <c r="P26" i="18"/>
  <c r="Q26" i="18"/>
  <c r="R26" i="18"/>
  <c r="P27" i="18"/>
  <c r="Q27" i="18"/>
  <c r="R27" i="18"/>
  <c r="P28" i="18"/>
  <c r="Q28" i="18"/>
  <c r="R28" i="18"/>
  <c r="P29" i="18"/>
  <c r="Q29" i="18"/>
  <c r="R29" i="18"/>
  <c r="P30" i="18"/>
  <c r="Q30" i="18"/>
  <c r="R30" i="18"/>
  <c r="P31" i="18"/>
  <c r="Q31" i="18"/>
  <c r="R31" i="18"/>
  <c r="P32" i="18"/>
  <c r="Q32" i="18"/>
  <c r="R32" i="18"/>
  <c r="P33" i="18"/>
  <c r="Q33" i="18"/>
  <c r="R33" i="18"/>
  <c r="P34" i="18"/>
  <c r="Q34" i="18"/>
  <c r="R34" i="18"/>
  <c r="P35" i="18"/>
  <c r="Q35" i="18"/>
  <c r="R35" i="18"/>
  <c r="P36" i="18"/>
  <c r="Q36" i="18"/>
  <c r="R36" i="18"/>
  <c r="P37" i="18"/>
  <c r="Q37" i="18"/>
  <c r="R37" i="18"/>
  <c r="R8" i="18"/>
  <c r="Q8" i="18"/>
  <c r="P8" i="18"/>
  <c r="O37" i="18"/>
  <c r="O36" i="18"/>
  <c r="O35" i="18"/>
  <c r="O34" i="18"/>
  <c r="O33" i="18"/>
  <c r="O32" i="18"/>
  <c r="O31" i="18"/>
  <c r="O30" i="18"/>
  <c r="O29" i="18"/>
  <c r="O28" i="18"/>
  <c r="O27" i="18"/>
  <c r="O26" i="18"/>
  <c r="O25" i="18"/>
  <c r="O24" i="18"/>
  <c r="O23" i="18"/>
  <c r="O22" i="18"/>
  <c r="O21" i="18"/>
  <c r="O20" i="18"/>
  <c r="O19" i="18"/>
  <c r="O18" i="18"/>
  <c r="O17" i="18"/>
  <c r="O16" i="18"/>
  <c r="O15" i="18"/>
  <c r="O14" i="18"/>
  <c r="O13" i="18"/>
  <c r="O12" i="18"/>
  <c r="O11" i="18"/>
  <c r="O10" i="18"/>
  <c r="O9" i="18"/>
  <c r="O8" i="18"/>
  <c r="C39" i="15"/>
  <c r="C38" i="15"/>
  <c r="C37" i="15"/>
  <c r="C36" i="15"/>
  <c r="C35" i="15"/>
  <c r="C34" i="15"/>
  <c r="C33" i="15"/>
  <c r="C32" i="15"/>
  <c r="C31" i="15"/>
  <c r="C30" i="15"/>
  <c r="C29" i="15"/>
  <c r="C28" i="15"/>
  <c r="C12" i="9"/>
  <c r="F22" i="9"/>
  <c r="O368" i="17"/>
  <c r="C17" i="16"/>
  <c r="C16" i="16"/>
  <c r="C13" i="9"/>
  <c r="E33" i="9"/>
  <c r="C7" i="17"/>
  <c r="R7" i="17" s="1"/>
  <c r="R31" i="9" s="1"/>
  <c r="E34" i="9"/>
  <c r="C21" i="16"/>
  <c r="C11" i="16"/>
  <c r="B15" i="19"/>
  <c r="R12" i="9"/>
  <c r="R14" i="9"/>
  <c r="R13" i="9"/>
  <c r="R11" i="9"/>
  <c r="R10" i="9"/>
  <c r="R9" i="9"/>
  <c r="R8" i="9"/>
  <c r="R7" i="9"/>
  <c r="R6" i="9"/>
  <c r="R5" i="9"/>
  <c r="C38" i="9"/>
  <c r="Q31" i="9"/>
  <c r="S31" i="9" s="1"/>
  <c r="C37" i="9"/>
  <c r="B37" i="9"/>
  <c r="B10" i="19"/>
  <c r="B62" i="9"/>
  <c r="B30" i="9"/>
  <c r="E31" i="16"/>
  <c r="D31" i="16"/>
  <c r="B33" i="16"/>
  <c r="B32" i="16"/>
  <c r="E62" i="9"/>
  <c r="I5" i="15"/>
  <c r="I6" i="15"/>
  <c r="I7" i="15"/>
  <c r="I8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H26" i="15"/>
  <c r="H27" i="15"/>
  <c r="H28" i="15"/>
  <c r="H29" i="15"/>
  <c r="H30" i="15"/>
  <c r="H31" i="15"/>
  <c r="H32" i="15"/>
  <c r="H33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G5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E2" i="18"/>
  <c r="D2" i="17"/>
  <c r="C2" i="19"/>
  <c r="C2" i="9"/>
  <c r="E25" i="16"/>
  <c r="CI5" i="18"/>
  <c r="B7" i="19"/>
  <c r="C16" i="9"/>
  <c r="E10" i="16"/>
  <c r="E9" i="16"/>
  <c r="E8" i="16"/>
  <c r="E7" i="16"/>
  <c r="F25" i="16"/>
  <c r="B17" i="19"/>
  <c r="B8" i="17"/>
  <c r="B9" i="17"/>
  <c r="B8" i="18"/>
  <c r="B16" i="19"/>
  <c r="B14" i="19"/>
  <c r="B13" i="19"/>
  <c r="C25" i="16"/>
  <c r="Q8" i="17"/>
  <c r="Q32" i="9" s="1"/>
  <c r="Q9" i="17"/>
  <c r="Q33" i="9" s="1"/>
  <c r="Q10" i="17"/>
  <c r="Q34" i="9" s="1"/>
  <c r="Q11" i="17"/>
  <c r="Q35" i="9" s="1"/>
  <c r="Q12" i="17"/>
  <c r="Q36" i="9" s="1"/>
  <c r="Q13" i="17"/>
  <c r="Q37" i="9" s="1"/>
  <c r="Q14" i="17"/>
  <c r="Q38" i="9" s="1"/>
  <c r="Q15" i="17"/>
  <c r="Q39" i="9" s="1"/>
  <c r="Q16" i="17"/>
  <c r="Q40" i="9" s="1"/>
  <c r="Q17" i="17"/>
  <c r="Q41" i="9" s="1"/>
  <c r="Q18" i="17"/>
  <c r="Q42" i="9" s="1"/>
  <c r="Q19" i="17"/>
  <c r="Q43" i="9" s="1"/>
  <c r="Q20" i="17"/>
  <c r="Q44" i="9" s="1"/>
  <c r="Q21" i="17"/>
  <c r="Q45" i="9" s="1"/>
  <c r="Q22" i="17"/>
  <c r="Q46" i="9" s="1"/>
  <c r="Q23" i="17"/>
  <c r="Q47" i="9" s="1"/>
  <c r="Q24" i="17"/>
  <c r="Q48" i="9" s="1"/>
  <c r="Q25" i="17"/>
  <c r="Q49" i="9" s="1"/>
  <c r="Q26" i="17"/>
  <c r="Q50" i="9" s="1"/>
  <c r="Q27" i="17"/>
  <c r="Q51" i="9" s="1"/>
  <c r="Q28" i="17"/>
  <c r="Q29" i="17"/>
  <c r="Q30" i="17"/>
  <c r="Q31" i="17"/>
  <c r="Q32" i="17"/>
  <c r="Q33" i="17"/>
  <c r="Q34" i="17"/>
  <c r="Q35" i="17"/>
  <c r="Q36" i="17"/>
  <c r="Q37" i="17"/>
  <c r="B12" i="19"/>
  <c r="B11" i="19"/>
  <c r="B9" i="19"/>
  <c r="B8" i="19"/>
  <c r="C6" i="15"/>
  <c r="M8" i="18"/>
  <c r="L8" i="18"/>
  <c r="C5" i="15"/>
  <c r="K8" i="18"/>
  <c r="E4" i="15"/>
  <c r="C4" i="15"/>
  <c r="J8" i="18" s="1"/>
  <c r="I8" i="18"/>
  <c r="H6" i="18"/>
  <c r="G6" i="18"/>
  <c r="F6" i="18"/>
  <c r="E6" i="18"/>
  <c r="D6" i="18"/>
  <c r="C6" i="18"/>
  <c r="O7" i="17"/>
  <c r="AD7" i="17"/>
  <c r="T31" i="9"/>
  <c r="E37" i="9"/>
  <c r="F38" i="9"/>
  <c r="F37" i="9"/>
  <c r="E58" i="9"/>
  <c r="B10" i="17"/>
  <c r="C29" i="16"/>
  <c r="C28" i="16"/>
  <c r="D32" i="16"/>
  <c r="D33" i="16"/>
  <c r="B9" i="18"/>
  <c r="C19" i="16"/>
  <c r="C18" i="16"/>
  <c r="C20" i="16"/>
  <c r="E38" i="9"/>
  <c r="B11" i="17"/>
  <c r="J9" i="18"/>
  <c r="I9" i="18"/>
  <c r="K9" i="18"/>
  <c r="B10" i="18"/>
  <c r="B12" i="17"/>
  <c r="J10" i="18"/>
  <c r="K10" i="18"/>
  <c r="B11" i="18"/>
  <c r="I10" i="18"/>
  <c r="J11" i="18"/>
  <c r="B13" i="17"/>
  <c r="B12" i="18"/>
  <c r="I11" i="18"/>
  <c r="K11" i="18"/>
  <c r="J12" i="18"/>
  <c r="B14" i="17"/>
  <c r="B13" i="18"/>
  <c r="K12" i="18"/>
  <c r="K13" i="18"/>
  <c r="B15" i="17"/>
  <c r="B14" i="18"/>
  <c r="B16" i="17"/>
  <c r="B15" i="18"/>
  <c r="K14" i="18"/>
  <c r="B17" i="17"/>
  <c r="B16" i="18"/>
  <c r="K15" i="18"/>
  <c r="B18" i="17"/>
  <c r="K16" i="18"/>
  <c r="B17" i="18"/>
  <c r="B19" i="17"/>
  <c r="K17" i="18"/>
  <c r="B18" i="18"/>
  <c r="B20" i="17"/>
  <c r="B19" i="18"/>
  <c r="K18" i="18"/>
  <c r="B21" i="17"/>
  <c r="B20" i="18"/>
  <c r="K19" i="18"/>
  <c r="K20" i="18"/>
  <c r="B22" i="17"/>
  <c r="B21" i="18"/>
  <c r="B23" i="17"/>
  <c r="B22" i="18"/>
  <c r="K21" i="18"/>
  <c r="B24" i="17"/>
  <c r="K22" i="18"/>
  <c r="B23" i="18"/>
  <c r="B25" i="17"/>
  <c r="K23" i="18"/>
  <c r="B24" i="18"/>
  <c r="K24" i="18"/>
  <c r="B26" i="17"/>
  <c r="B25" i="18"/>
  <c r="B27" i="17"/>
  <c r="K25" i="18"/>
  <c r="B26" i="18"/>
  <c r="B28" i="17"/>
  <c r="K26" i="18"/>
  <c r="B27" i="18"/>
  <c r="B29" i="17"/>
  <c r="K27" i="18"/>
  <c r="B28" i="18"/>
  <c r="B30" i="17"/>
  <c r="K28" i="18"/>
  <c r="B29" i="18"/>
  <c r="B31" i="17"/>
  <c r="K29" i="18"/>
  <c r="B30" i="18"/>
  <c r="B32" i="17"/>
  <c r="B31" i="18"/>
  <c r="K30" i="18"/>
  <c r="K31" i="18"/>
  <c r="B33" i="17"/>
  <c r="B32" i="18"/>
  <c r="B34" i="17"/>
  <c r="B33" i="18"/>
  <c r="K32" i="18"/>
  <c r="B35" i="17"/>
  <c r="K33" i="18"/>
  <c r="B34" i="18"/>
  <c r="B36" i="17"/>
  <c r="B35" i="18"/>
  <c r="K34" i="18"/>
  <c r="B37" i="17"/>
  <c r="K35" i="18"/>
  <c r="B36" i="18"/>
  <c r="B38" i="17"/>
  <c r="K36" i="18"/>
  <c r="B37" i="18"/>
  <c r="B39" i="17"/>
  <c r="K37" i="18"/>
  <c r="B40" i="17"/>
  <c r="B41" i="17"/>
  <c r="B42" i="17"/>
  <c r="B43" i="17"/>
  <c r="B44" i="17"/>
  <c r="B45" i="17"/>
  <c r="B46" i="17"/>
  <c r="B47" i="17"/>
  <c r="B48" i="17"/>
  <c r="B49" i="17"/>
  <c r="B50" i="17"/>
  <c r="B51" i="17"/>
  <c r="B52" i="17"/>
  <c r="B53" i="17"/>
  <c r="B54" i="17"/>
  <c r="B55" i="17"/>
  <c r="B56" i="17"/>
  <c r="B57" i="17"/>
  <c r="B58" i="17"/>
  <c r="B59" i="17"/>
  <c r="B60" i="17"/>
  <c r="B61" i="17"/>
  <c r="B62" i="17"/>
  <c r="B63" i="17"/>
  <c r="B64" i="17"/>
  <c r="B65" i="17"/>
  <c r="B66" i="17"/>
  <c r="B67" i="17"/>
  <c r="B68" i="17"/>
  <c r="B69" i="17"/>
  <c r="B70" i="17"/>
  <c r="B71" i="17"/>
  <c r="B72" i="17"/>
  <c r="B73" i="17"/>
  <c r="B74" i="17"/>
  <c r="B75" i="17"/>
  <c r="B76" i="17"/>
  <c r="B77" i="17"/>
  <c r="B78" i="17"/>
  <c r="B79" i="17"/>
  <c r="B80" i="17"/>
  <c r="B81" i="17"/>
  <c r="B82" i="17"/>
  <c r="B83" i="17"/>
  <c r="B84" i="17"/>
  <c r="B85" i="17"/>
  <c r="B86" i="17"/>
  <c r="B87" i="17"/>
  <c r="B88" i="17"/>
  <c r="B89" i="17"/>
  <c r="B90" i="17"/>
  <c r="B91" i="17"/>
  <c r="B92" i="17"/>
  <c r="B93" i="17"/>
  <c r="B94" i="17"/>
  <c r="B95" i="17"/>
  <c r="B96" i="17"/>
  <c r="B97" i="17"/>
  <c r="B98" i="17"/>
  <c r="B99" i="17"/>
  <c r="B100" i="17"/>
  <c r="B101" i="17"/>
  <c r="B102" i="17"/>
  <c r="B103" i="17"/>
  <c r="B104" i="17"/>
  <c r="B105" i="17"/>
  <c r="B106" i="17"/>
  <c r="B107" i="17"/>
  <c r="B108" i="17"/>
  <c r="B109" i="17"/>
  <c r="B110" i="17"/>
  <c r="B111" i="17"/>
  <c r="B112" i="17"/>
  <c r="B113" i="17"/>
  <c r="B114" i="17"/>
  <c r="B115" i="17"/>
  <c r="B116" i="17"/>
  <c r="B117" i="17"/>
  <c r="B118" i="17"/>
  <c r="B119" i="17"/>
  <c r="B120" i="17"/>
  <c r="B121" i="17"/>
  <c r="B122" i="17"/>
  <c r="B123" i="17"/>
  <c r="B124" i="17"/>
  <c r="B125" i="17"/>
  <c r="B126" i="17"/>
  <c r="B127" i="17"/>
  <c r="B128" i="17"/>
  <c r="B129" i="17"/>
  <c r="B130" i="17"/>
  <c r="B131" i="17"/>
  <c r="B132" i="17"/>
  <c r="B133" i="17"/>
  <c r="B134" i="17"/>
  <c r="B135" i="17"/>
  <c r="B136" i="17"/>
  <c r="B137" i="17"/>
  <c r="B138" i="17"/>
  <c r="B139" i="17"/>
  <c r="B140" i="17"/>
  <c r="L139" i="17"/>
  <c r="J139" i="17"/>
  <c r="H139" i="17"/>
  <c r="K139" i="17"/>
  <c r="B141" i="17"/>
  <c r="H140" i="17"/>
  <c r="K140" i="17"/>
  <c r="J140" i="17"/>
  <c r="L140" i="17"/>
  <c r="H141" i="17"/>
  <c r="K141" i="17"/>
  <c r="B142" i="17"/>
  <c r="J141" i="17"/>
  <c r="L141" i="17"/>
  <c r="L142" i="17"/>
  <c r="H142" i="17"/>
  <c r="K142" i="17"/>
  <c r="J142" i="17"/>
  <c r="B143" i="17"/>
  <c r="B144" i="17"/>
  <c r="H143" i="17"/>
  <c r="K143" i="17"/>
  <c r="L143" i="17"/>
  <c r="J143" i="17"/>
  <c r="J144" i="17"/>
  <c r="L144" i="17"/>
  <c r="B145" i="17"/>
  <c r="H144" i="17"/>
  <c r="K144" i="17"/>
  <c r="J145" i="17"/>
  <c r="H145" i="17"/>
  <c r="K145" i="17"/>
  <c r="B146" i="17"/>
  <c r="L145" i="17"/>
  <c r="B147" i="17"/>
  <c r="J146" i="17"/>
  <c r="L146" i="17"/>
  <c r="H146" i="17"/>
  <c r="K146" i="17"/>
  <c r="L147" i="17"/>
  <c r="H147" i="17"/>
  <c r="K147" i="17"/>
  <c r="J147" i="17"/>
  <c r="B148" i="17"/>
  <c r="L148" i="17"/>
  <c r="J148" i="17"/>
  <c r="B149" i="17"/>
  <c r="H148" i="17"/>
  <c r="K148" i="17"/>
  <c r="J149" i="17"/>
  <c r="L149" i="17"/>
  <c r="H149" i="17"/>
  <c r="K149" i="17"/>
  <c r="B150" i="17"/>
  <c r="B151" i="17"/>
  <c r="J150" i="17"/>
  <c r="L150" i="17"/>
  <c r="J151" i="17"/>
  <c r="L151" i="17"/>
  <c r="H151" i="17"/>
  <c r="K151" i="17"/>
  <c r="B152" i="17"/>
  <c r="B153" i="17"/>
  <c r="H152" i="17"/>
  <c r="K152" i="17"/>
  <c r="L152" i="17"/>
  <c r="J152" i="17"/>
  <c r="J153" i="17"/>
  <c r="H153" i="17"/>
  <c r="K153" i="17"/>
  <c r="B154" i="17"/>
  <c r="L153" i="17"/>
  <c r="B155" i="17"/>
  <c r="L154" i="17"/>
  <c r="J154" i="17"/>
  <c r="H154" i="17"/>
  <c r="K154" i="17"/>
  <c r="J155" i="17"/>
  <c r="B156" i="17"/>
  <c r="L155" i="17"/>
  <c r="L156" i="17"/>
  <c r="B157" i="17"/>
  <c r="H156" i="17"/>
  <c r="K156" i="17"/>
  <c r="J156" i="17"/>
  <c r="J157" i="17"/>
  <c r="L157" i="17"/>
  <c r="B158" i="17"/>
  <c r="H157" i="17"/>
  <c r="K157" i="17"/>
  <c r="B159" i="17"/>
  <c r="L158" i="17"/>
  <c r="H158" i="17"/>
  <c r="K158" i="17"/>
  <c r="J158" i="17"/>
  <c r="B160" i="17"/>
  <c r="L159" i="17"/>
  <c r="J159" i="17"/>
  <c r="L160" i="17"/>
  <c r="H160" i="17"/>
  <c r="K160" i="17"/>
  <c r="J160" i="17"/>
  <c r="B161" i="17"/>
  <c r="L161" i="17"/>
  <c r="J161" i="17"/>
  <c r="B162" i="17"/>
  <c r="H161" i="17"/>
  <c r="K161" i="17"/>
  <c r="L162" i="17"/>
  <c r="B163" i="17"/>
  <c r="J162" i="17"/>
  <c r="H162" i="17"/>
  <c r="K162" i="17"/>
  <c r="H163" i="17"/>
  <c r="K163" i="17"/>
  <c r="B164" i="17"/>
  <c r="L163" i="17"/>
  <c r="J163" i="17"/>
  <c r="H164" i="17"/>
  <c r="K164" i="17"/>
  <c r="L164" i="17"/>
  <c r="J164" i="17"/>
  <c r="B165" i="17"/>
  <c r="L165" i="17"/>
  <c r="H165" i="17"/>
  <c r="K165" i="17"/>
  <c r="J165" i="17"/>
  <c r="B166" i="17"/>
  <c r="J166" i="17"/>
  <c r="H166" i="17"/>
  <c r="K166" i="17"/>
  <c r="B167" i="17"/>
  <c r="L166" i="17"/>
  <c r="J167" i="17"/>
  <c r="B168" i="17"/>
  <c r="H167" i="17"/>
  <c r="K167" i="17"/>
  <c r="L167" i="17"/>
  <c r="J168" i="17"/>
  <c r="B169" i="17"/>
  <c r="L168" i="17"/>
  <c r="H168" i="17"/>
  <c r="K168" i="17"/>
  <c r="B170" i="17"/>
  <c r="H169" i="17"/>
  <c r="K169" i="17"/>
  <c r="L169" i="17"/>
  <c r="J169" i="17"/>
  <c r="J170" i="17"/>
  <c r="L170" i="17"/>
  <c r="B171" i="17"/>
  <c r="H170" i="17"/>
  <c r="K170" i="17"/>
  <c r="L171" i="17"/>
  <c r="J171" i="17"/>
  <c r="B172" i="17"/>
  <c r="B173" i="17"/>
  <c r="L172" i="17"/>
  <c r="J172" i="17"/>
  <c r="L173" i="17"/>
  <c r="H173" i="17"/>
  <c r="K173" i="17"/>
  <c r="B174" i="17"/>
  <c r="J173" i="17"/>
  <c r="L174" i="17"/>
  <c r="B175" i="17"/>
  <c r="H174" i="17"/>
  <c r="K174" i="17"/>
  <c r="J174" i="17"/>
  <c r="J175" i="17"/>
  <c r="H175" i="17"/>
  <c r="K175" i="17"/>
  <c r="B176" i="17"/>
  <c r="L175" i="17"/>
  <c r="L176" i="17"/>
  <c r="J176" i="17"/>
  <c r="H176" i="17"/>
  <c r="K176" i="17"/>
  <c r="B177" i="17"/>
  <c r="J177" i="17"/>
  <c r="H177" i="17"/>
  <c r="K177" i="17"/>
  <c r="L177" i="17"/>
  <c r="B178" i="17"/>
  <c r="L178" i="17"/>
  <c r="J178" i="17"/>
  <c r="B179" i="17"/>
  <c r="H178" i="17"/>
  <c r="K178" i="17"/>
  <c r="L179" i="17"/>
  <c r="B180" i="17"/>
  <c r="J179" i="17"/>
  <c r="H179" i="17"/>
  <c r="K179" i="17"/>
  <c r="J180" i="17"/>
  <c r="B181" i="17"/>
  <c r="H180" i="17"/>
  <c r="K180" i="17"/>
  <c r="L180" i="17"/>
  <c r="J181" i="17"/>
  <c r="L181" i="17"/>
  <c r="B182" i="17"/>
  <c r="H181" i="17"/>
  <c r="K181" i="17"/>
  <c r="J182" i="17"/>
  <c r="H182" i="17"/>
  <c r="K182" i="17"/>
  <c r="L182" i="17"/>
  <c r="B183" i="17"/>
  <c r="L183" i="17"/>
  <c r="J183" i="17"/>
  <c r="B184" i="17"/>
  <c r="L184" i="17"/>
  <c r="H184" i="17"/>
  <c r="K184" i="17"/>
  <c r="B185" i="17"/>
  <c r="J184" i="17"/>
  <c r="L185" i="17"/>
  <c r="H185" i="17"/>
  <c r="K185" i="17"/>
  <c r="J185" i="17"/>
  <c r="B186" i="17"/>
  <c r="L186" i="17"/>
  <c r="J186" i="17"/>
  <c r="B187" i="17"/>
  <c r="H186" i="17"/>
  <c r="K186" i="17"/>
  <c r="J187" i="17"/>
  <c r="B188" i="17"/>
  <c r="L187" i="17"/>
  <c r="H187" i="17"/>
  <c r="K187" i="17"/>
  <c r="L188" i="17"/>
  <c r="H188" i="17"/>
  <c r="K188" i="17"/>
  <c r="B189" i="17"/>
  <c r="J188" i="17"/>
  <c r="L189" i="17"/>
  <c r="B190" i="17"/>
  <c r="H189" i="17"/>
  <c r="K189" i="17"/>
  <c r="J189" i="17"/>
  <c r="L190" i="17"/>
  <c r="J190" i="17"/>
  <c r="B191" i="17"/>
  <c r="J191" i="17"/>
  <c r="L191" i="17"/>
  <c r="B192" i="17"/>
  <c r="H191" i="17"/>
  <c r="K191" i="17"/>
  <c r="J192" i="17"/>
  <c r="L192" i="17"/>
  <c r="B193" i="17"/>
  <c r="L193" i="17"/>
  <c r="J193" i="17"/>
  <c r="B194" i="17"/>
  <c r="H193" i="17"/>
  <c r="K193" i="17"/>
  <c r="L194" i="17"/>
  <c r="B195" i="17"/>
  <c r="J194" i="17"/>
  <c r="J195" i="17"/>
  <c r="B196" i="17"/>
  <c r="H195" i="17"/>
  <c r="K195" i="17"/>
  <c r="L195" i="17"/>
  <c r="L196" i="17"/>
  <c r="B197" i="17"/>
  <c r="J196" i="17"/>
  <c r="L197" i="17"/>
  <c r="J197" i="17"/>
  <c r="B198" i="17"/>
  <c r="H197" i="17"/>
  <c r="K197" i="17"/>
  <c r="J198" i="17"/>
  <c r="L198" i="17"/>
  <c r="H198" i="17"/>
  <c r="K198" i="17"/>
  <c r="B199" i="17"/>
  <c r="J199" i="17"/>
  <c r="H199" i="17"/>
  <c r="K199" i="17"/>
  <c r="B200" i="17"/>
  <c r="L199" i="17"/>
  <c r="J200" i="17"/>
  <c r="B201" i="17"/>
  <c r="L200" i="17"/>
  <c r="H201" i="17"/>
  <c r="K201" i="17"/>
  <c r="B202" i="17"/>
  <c r="L201" i="17"/>
  <c r="J201" i="17"/>
  <c r="L202" i="17"/>
  <c r="H202" i="17"/>
  <c r="K202" i="17"/>
  <c r="B203" i="17"/>
  <c r="J202" i="17"/>
  <c r="L203" i="17"/>
  <c r="B204" i="17"/>
  <c r="H203" i="17"/>
  <c r="K203" i="17"/>
  <c r="J203" i="17"/>
  <c r="L204" i="17"/>
  <c r="J204" i="17"/>
  <c r="B205" i="17"/>
  <c r="J205" i="17"/>
  <c r="B206" i="17"/>
  <c r="H205" i="17"/>
  <c r="K205" i="17"/>
  <c r="L205" i="17"/>
  <c r="L206" i="17"/>
  <c r="H206" i="17"/>
  <c r="K206" i="17"/>
  <c r="B207" i="17"/>
  <c r="J206" i="17"/>
  <c r="J207" i="17"/>
  <c r="B208" i="17"/>
  <c r="L207" i="17"/>
  <c r="H208" i="17"/>
  <c r="K208" i="17"/>
  <c r="B209" i="17"/>
  <c r="J208" i="17"/>
  <c r="L208" i="17"/>
  <c r="J209" i="17"/>
  <c r="B210" i="17"/>
  <c r="H209" i="17"/>
  <c r="K209" i="17"/>
  <c r="L209" i="17"/>
  <c r="L210" i="17"/>
  <c r="H210" i="17"/>
  <c r="K210" i="17"/>
  <c r="J210" i="17"/>
  <c r="B211" i="17"/>
  <c r="B212" i="17"/>
  <c r="J211" i="17"/>
  <c r="L211" i="17"/>
  <c r="H211" i="17"/>
  <c r="K211" i="17"/>
  <c r="B213" i="17"/>
  <c r="H212" i="17"/>
  <c r="K212" i="17"/>
  <c r="L212" i="17"/>
  <c r="J212" i="17"/>
  <c r="L213" i="17"/>
  <c r="B214" i="17"/>
  <c r="J213" i="17"/>
  <c r="L214" i="17"/>
  <c r="B215" i="17"/>
  <c r="J214" i="17"/>
  <c r="H214" i="17"/>
  <c r="K214" i="17"/>
  <c r="J215" i="17"/>
  <c r="B216" i="17"/>
  <c r="L215" i="17"/>
  <c r="L216" i="17"/>
  <c r="B217" i="17"/>
  <c r="J216" i="17"/>
  <c r="H216" i="17"/>
  <c r="K216" i="17"/>
  <c r="J217" i="17"/>
  <c r="B218" i="17"/>
  <c r="H217" i="17"/>
  <c r="K217" i="17"/>
  <c r="L217" i="17"/>
  <c r="B219" i="17"/>
  <c r="J218" i="17"/>
  <c r="L218" i="17"/>
  <c r="B220" i="17"/>
  <c r="H219" i="17"/>
  <c r="K219" i="17"/>
  <c r="L219" i="17"/>
  <c r="J219" i="17"/>
  <c r="J220" i="17"/>
  <c r="H220" i="17"/>
  <c r="K220" i="17"/>
  <c r="L220" i="17"/>
  <c r="B221" i="17"/>
  <c r="B222" i="17"/>
  <c r="L221" i="17"/>
  <c r="J221" i="17"/>
  <c r="L222" i="17"/>
  <c r="B223" i="17"/>
  <c r="J222" i="17"/>
  <c r="B224" i="17"/>
  <c r="H223" i="17"/>
  <c r="K223" i="17"/>
  <c r="L223" i="17"/>
  <c r="J223" i="17"/>
  <c r="B225" i="17"/>
  <c r="L224" i="17"/>
  <c r="J224" i="17"/>
  <c r="H224" i="17"/>
  <c r="K224" i="17"/>
  <c r="H225" i="17"/>
  <c r="K225" i="17"/>
  <c r="B226" i="17"/>
  <c r="L225" i="17"/>
  <c r="J225" i="17"/>
  <c r="B227" i="17"/>
  <c r="H226" i="17"/>
  <c r="K226" i="17"/>
  <c r="L226" i="17"/>
  <c r="J226" i="17"/>
  <c r="H227" i="17"/>
  <c r="K227" i="17"/>
  <c r="J227" i="17"/>
  <c r="B228" i="17"/>
  <c r="L227" i="17"/>
  <c r="H228" i="17"/>
  <c r="K228" i="17"/>
  <c r="L228" i="17"/>
  <c r="B229" i="17"/>
  <c r="J228" i="17"/>
  <c r="J229" i="17"/>
  <c r="H229" i="17"/>
  <c r="K229" i="17"/>
  <c r="B230" i="17"/>
  <c r="L229" i="17"/>
  <c r="J230" i="17"/>
  <c r="B231" i="17"/>
  <c r="L230" i="17"/>
  <c r="H230" i="17"/>
  <c r="K230" i="17"/>
  <c r="J231" i="17"/>
  <c r="L231" i="17"/>
  <c r="H231" i="17"/>
  <c r="K231" i="17"/>
  <c r="B232" i="17"/>
  <c r="H232" i="17"/>
  <c r="K232" i="17"/>
  <c r="L232" i="17"/>
  <c r="J232" i="17"/>
  <c r="B233" i="17"/>
  <c r="J233" i="17"/>
  <c r="L233" i="17"/>
  <c r="H233" i="17"/>
  <c r="K233" i="17"/>
  <c r="B234" i="17"/>
  <c r="J234" i="17"/>
  <c r="B235" i="17"/>
  <c r="H234" i="17"/>
  <c r="K234" i="17"/>
  <c r="L234" i="17"/>
  <c r="L235" i="17"/>
  <c r="J235" i="17"/>
  <c r="B236" i="17"/>
  <c r="B237" i="17"/>
  <c r="J236" i="17"/>
  <c r="L236" i="17"/>
  <c r="J237" i="17"/>
  <c r="L237" i="17"/>
  <c r="H237" i="17"/>
  <c r="K237" i="17"/>
  <c r="B238" i="17"/>
  <c r="L238" i="17"/>
  <c r="B239" i="17"/>
  <c r="J238" i="17"/>
  <c r="H238" i="17"/>
  <c r="K238" i="17"/>
  <c r="B240" i="17"/>
  <c r="J239" i="17"/>
  <c r="L239" i="17"/>
  <c r="H239" i="17"/>
  <c r="K239" i="17"/>
  <c r="B241" i="17"/>
  <c r="J240" i="17"/>
  <c r="L240" i="17"/>
  <c r="B242" i="17"/>
  <c r="L241" i="17"/>
  <c r="J241" i="17"/>
  <c r="H241" i="17"/>
  <c r="K241" i="17"/>
  <c r="J242" i="17"/>
  <c r="B243" i="17"/>
  <c r="L242" i="17"/>
  <c r="B244" i="17"/>
  <c r="J243" i="17"/>
  <c r="L243" i="17"/>
  <c r="H243" i="17"/>
  <c r="K243" i="17"/>
  <c r="L244" i="17"/>
  <c r="J244" i="17"/>
  <c r="B245" i="17"/>
  <c r="H244" i="17"/>
  <c r="K244" i="17"/>
  <c r="B246" i="17"/>
  <c r="L245" i="17"/>
  <c r="J245" i="17"/>
  <c r="H246" i="17"/>
  <c r="K246" i="17"/>
  <c r="J246" i="17"/>
  <c r="B247" i="17"/>
  <c r="L246" i="17"/>
  <c r="J247" i="17"/>
  <c r="L247" i="17"/>
  <c r="B248" i="17"/>
  <c r="J248" i="17"/>
  <c r="L248" i="17"/>
  <c r="H248" i="17"/>
  <c r="K248" i="17"/>
  <c r="B249" i="17"/>
  <c r="L249" i="17"/>
  <c r="J249" i="17"/>
  <c r="B250" i="17"/>
  <c r="B251" i="17"/>
  <c r="J250" i="17"/>
  <c r="H250" i="17"/>
  <c r="K250" i="17"/>
  <c r="L250" i="17"/>
  <c r="H251" i="17"/>
  <c r="K251" i="17"/>
  <c r="J251" i="17"/>
  <c r="L251" i="17"/>
  <c r="B252" i="17"/>
  <c r="H252" i="17"/>
  <c r="K252" i="17"/>
  <c r="J252" i="17"/>
  <c r="L252" i="17"/>
  <c r="B253" i="17"/>
  <c r="L253" i="17"/>
  <c r="J253" i="17"/>
  <c r="B254" i="17"/>
  <c r="H253" i="17"/>
  <c r="K253" i="17"/>
  <c r="B255" i="17"/>
  <c r="L254" i="17"/>
  <c r="J254" i="17"/>
  <c r="J255" i="17"/>
  <c r="L255" i="17"/>
  <c r="B256" i="17"/>
  <c r="J256" i="17"/>
  <c r="L256" i="17"/>
  <c r="B257" i="17"/>
  <c r="J257" i="17"/>
  <c r="L257" i="17"/>
  <c r="B258" i="17"/>
  <c r="H257" i="17"/>
  <c r="K257" i="17"/>
  <c r="L258" i="17"/>
  <c r="J258" i="17"/>
  <c r="H258" i="17"/>
  <c r="K258" i="17"/>
  <c r="B259" i="17"/>
  <c r="B260" i="17"/>
  <c r="L259" i="17"/>
  <c r="H259" i="17"/>
  <c r="K259" i="17"/>
  <c r="J259" i="17"/>
  <c r="B261" i="17"/>
  <c r="J260" i="17"/>
  <c r="H260" i="17"/>
  <c r="K260" i="17"/>
  <c r="L260" i="17"/>
  <c r="J261" i="17"/>
  <c r="L261" i="17"/>
  <c r="B262" i="17"/>
  <c r="H261" i="17"/>
  <c r="K261" i="17"/>
  <c r="H262" i="17"/>
  <c r="K262" i="17"/>
  <c r="L262" i="17"/>
  <c r="J262" i="17"/>
  <c r="B263" i="17"/>
  <c r="J263" i="17"/>
  <c r="L263" i="17"/>
  <c r="B264" i="17"/>
  <c r="J264" i="17"/>
  <c r="L264" i="17"/>
  <c r="H264" i="17"/>
  <c r="K264" i="17"/>
  <c r="B265" i="17"/>
  <c r="J265" i="17"/>
  <c r="L265" i="17"/>
  <c r="B266" i="17"/>
  <c r="H265" i="17"/>
  <c r="K265" i="17"/>
  <c r="L266" i="17"/>
  <c r="J266" i="17"/>
  <c r="B267" i="17"/>
  <c r="J267" i="17"/>
  <c r="L267" i="17"/>
  <c r="H267" i="17"/>
  <c r="K267" i="17"/>
  <c r="B268" i="17"/>
  <c r="J268" i="17"/>
  <c r="L268" i="17"/>
  <c r="B269" i="17"/>
  <c r="H269" i="17"/>
  <c r="K269" i="17"/>
  <c r="L269" i="17"/>
  <c r="B270" i="17"/>
  <c r="J269" i="17"/>
  <c r="J270" i="17"/>
  <c r="B271" i="17"/>
  <c r="L270" i="17"/>
  <c r="J271" i="17"/>
  <c r="H271" i="17"/>
  <c r="K271" i="17"/>
  <c r="B272" i="17"/>
  <c r="L271" i="17"/>
  <c r="J272" i="17"/>
  <c r="L272" i="17"/>
  <c r="B273" i="17"/>
  <c r="H272" i="17"/>
  <c r="K272" i="17"/>
  <c r="L273" i="17"/>
  <c r="B274" i="17"/>
  <c r="J273" i="17"/>
  <c r="L274" i="17"/>
  <c r="J274" i="17"/>
  <c r="B275" i="17"/>
  <c r="H274" i="17"/>
  <c r="K274" i="17"/>
  <c r="B276" i="17"/>
  <c r="L275" i="17"/>
  <c r="J275" i="17"/>
  <c r="H275" i="17"/>
  <c r="K275" i="17"/>
  <c r="J276" i="17"/>
  <c r="L276" i="17"/>
  <c r="B277" i="17"/>
  <c r="J277" i="17"/>
  <c r="L277" i="17"/>
  <c r="B278" i="17"/>
  <c r="H277" i="17"/>
  <c r="K277" i="17"/>
  <c r="L278" i="17"/>
  <c r="J278" i="17"/>
  <c r="B279" i="17"/>
  <c r="H279" i="17"/>
  <c r="K279" i="17"/>
  <c r="L279" i="17"/>
  <c r="J279" i="17"/>
  <c r="B280" i="17"/>
  <c r="J280" i="17"/>
  <c r="L280" i="17"/>
  <c r="B281" i="17"/>
  <c r="L281" i="17"/>
  <c r="J281" i="17"/>
  <c r="B282" i="17"/>
  <c r="H281" i="17"/>
  <c r="K281" i="17"/>
  <c r="H282" i="17"/>
  <c r="K282" i="17"/>
  <c r="L282" i="17"/>
  <c r="J282" i="17"/>
  <c r="B283" i="17"/>
  <c r="B284" i="17"/>
  <c r="J283" i="17"/>
  <c r="H283" i="17"/>
  <c r="K283" i="17"/>
  <c r="L283" i="17"/>
  <c r="L284" i="17"/>
  <c r="H284" i="17"/>
  <c r="K284" i="17"/>
  <c r="B285" i="17"/>
  <c r="J284" i="17"/>
  <c r="J285" i="17"/>
  <c r="L285" i="17"/>
  <c r="B286" i="17"/>
  <c r="H285" i="17"/>
  <c r="K285" i="17"/>
  <c r="J286" i="17"/>
  <c r="H286" i="17"/>
  <c r="K286" i="17"/>
  <c r="B287" i="17"/>
  <c r="L286" i="17"/>
  <c r="L287" i="17"/>
  <c r="J287" i="17"/>
  <c r="B288" i="17"/>
  <c r="H287" i="17"/>
  <c r="K287" i="17"/>
  <c r="B289" i="17"/>
  <c r="J288" i="17"/>
  <c r="L288" i="17"/>
  <c r="H288" i="17"/>
  <c r="K288" i="17"/>
  <c r="B290" i="17"/>
  <c r="J289" i="17"/>
  <c r="L289" i="17"/>
  <c r="H289" i="17"/>
  <c r="K289" i="17"/>
  <c r="H290" i="17"/>
  <c r="K290" i="17"/>
  <c r="L290" i="17"/>
  <c r="J290" i="17"/>
  <c r="B291" i="17"/>
  <c r="L291" i="17"/>
  <c r="J291" i="17"/>
  <c r="B292" i="17"/>
  <c r="H291" i="17"/>
  <c r="K291" i="17"/>
  <c r="J292" i="17"/>
  <c r="L292" i="17"/>
  <c r="B293" i="17"/>
  <c r="H292" i="17"/>
  <c r="K292" i="17"/>
  <c r="J293" i="17"/>
  <c r="L293" i="17"/>
  <c r="H293" i="17"/>
  <c r="K293" i="17"/>
  <c r="B294" i="17"/>
  <c r="L294" i="17"/>
  <c r="J294" i="17"/>
  <c r="B295" i="17"/>
  <c r="H294" i="17"/>
  <c r="K294" i="17"/>
  <c r="L295" i="17"/>
  <c r="J295" i="17"/>
  <c r="H295" i="17"/>
  <c r="K295" i="17"/>
  <c r="B296" i="17"/>
  <c r="J296" i="17"/>
  <c r="L296" i="17"/>
  <c r="B297" i="17"/>
  <c r="H296" i="17"/>
  <c r="K296" i="17"/>
  <c r="H297" i="17"/>
  <c r="K297" i="17"/>
  <c r="L297" i="17"/>
  <c r="J297" i="17"/>
  <c r="B298" i="17"/>
  <c r="B299" i="17"/>
  <c r="L298" i="17"/>
  <c r="J298" i="17"/>
  <c r="H298" i="17"/>
  <c r="K298" i="17"/>
  <c r="H299" i="17"/>
  <c r="K299" i="17"/>
  <c r="L299" i="17"/>
  <c r="J299" i="17"/>
  <c r="B300" i="17"/>
  <c r="H300" i="17"/>
  <c r="K300" i="17"/>
  <c r="J300" i="17"/>
  <c r="L300" i="17"/>
  <c r="B301" i="17"/>
  <c r="J301" i="17"/>
  <c r="L301" i="17"/>
  <c r="B302" i="17"/>
  <c r="H301" i="17"/>
  <c r="K301" i="17"/>
  <c r="J302" i="17"/>
  <c r="B303" i="17"/>
  <c r="H302" i="17"/>
  <c r="K302" i="17"/>
  <c r="L302" i="17"/>
  <c r="H303" i="17"/>
  <c r="K303" i="17"/>
  <c r="L303" i="17"/>
  <c r="J303" i="17"/>
  <c r="B304" i="17"/>
  <c r="L304" i="17"/>
  <c r="J304" i="17"/>
  <c r="B305" i="17"/>
  <c r="H304" i="17"/>
  <c r="K304" i="17"/>
  <c r="L305" i="17"/>
  <c r="B306" i="17"/>
  <c r="H305" i="17"/>
  <c r="K305" i="17"/>
  <c r="J305" i="17"/>
  <c r="B307" i="17"/>
  <c r="L306" i="17"/>
  <c r="J306" i="17"/>
  <c r="H306" i="17"/>
  <c r="K306" i="17"/>
  <c r="L307" i="17"/>
  <c r="J307" i="17"/>
  <c r="H307" i="17"/>
  <c r="K307" i="17"/>
  <c r="B308" i="17"/>
  <c r="H308" i="17"/>
  <c r="K308" i="17"/>
  <c r="J308" i="17"/>
  <c r="L308" i="17"/>
  <c r="B309" i="17"/>
  <c r="L309" i="17"/>
  <c r="B310" i="17"/>
  <c r="H309" i="17"/>
  <c r="K309" i="17"/>
  <c r="J309" i="17"/>
  <c r="J310" i="17"/>
  <c r="L310" i="17"/>
  <c r="H310" i="17"/>
  <c r="K310" i="17"/>
  <c r="B311" i="17"/>
  <c r="H311" i="17"/>
  <c r="K311" i="17"/>
  <c r="L311" i="17"/>
  <c r="J311" i="17"/>
  <c r="B312" i="17"/>
  <c r="B313" i="17"/>
  <c r="J312" i="17"/>
  <c r="H312" i="17"/>
  <c r="K312" i="17"/>
  <c r="L312" i="17"/>
  <c r="L313" i="17"/>
  <c r="B314" i="17"/>
  <c r="H313" i="17"/>
  <c r="K313" i="17"/>
  <c r="J313" i="17"/>
  <c r="H314" i="17"/>
  <c r="K314" i="17"/>
  <c r="L314" i="17"/>
  <c r="J314" i="17"/>
  <c r="B315" i="17"/>
  <c r="H315" i="17"/>
  <c r="K315" i="17"/>
  <c r="L315" i="17"/>
  <c r="J315" i="17"/>
  <c r="B316" i="17"/>
  <c r="H316" i="17"/>
  <c r="K316" i="17"/>
  <c r="J316" i="17"/>
  <c r="L316" i="17"/>
  <c r="B317" i="17"/>
  <c r="H317" i="17"/>
  <c r="K317" i="17"/>
  <c r="J317" i="17"/>
  <c r="L317" i="17"/>
  <c r="B318" i="17"/>
  <c r="H318" i="17"/>
  <c r="K318" i="17"/>
  <c r="J318" i="17"/>
  <c r="B319" i="17"/>
  <c r="L318" i="17"/>
  <c r="B320" i="17"/>
  <c r="L319" i="17"/>
  <c r="H319" i="17"/>
  <c r="K319" i="17"/>
  <c r="J319" i="17"/>
  <c r="H320" i="17"/>
  <c r="K320" i="17"/>
  <c r="L320" i="17"/>
  <c r="J320" i="17"/>
  <c r="B321" i="17"/>
  <c r="J321" i="17"/>
  <c r="B322" i="17"/>
  <c r="H321" i="17"/>
  <c r="K321" i="17"/>
  <c r="L321" i="17"/>
  <c r="H322" i="17"/>
  <c r="K322" i="17"/>
  <c r="J322" i="17"/>
  <c r="L322" i="17"/>
  <c r="B323" i="17"/>
  <c r="B324" i="17"/>
  <c r="J323" i="17"/>
  <c r="L323" i="17"/>
  <c r="H323" i="17"/>
  <c r="K323" i="17"/>
  <c r="H324" i="17"/>
  <c r="K324" i="17"/>
  <c r="L324" i="17"/>
  <c r="J324" i="17"/>
  <c r="B325" i="17"/>
  <c r="H325" i="17"/>
  <c r="K325" i="17"/>
  <c r="J325" i="17"/>
  <c r="L325" i="17"/>
  <c r="B326" i="17"/>
  <c r="H326" i="17"/>
  <c r="K326" i="17"/>
  <c r="J326" i="17"/>
  <c r="L326" i="17"/>
  <c r="B327" i="17"/>
  <c r="J327" i="17"/>
  <c r="H327" i="17"/>
  <c r="K327" i="17"/>
  <c r="L327" i="17"/>
  <c r="B328" i="17"/>
  <c r="J328" i="17"/>
  <c r="L328" i="17"/>
  <c r="B329" i="17"/>
  <c r="H328" i="17"/>
  <c r="K328" i="17"/>
  <c r="L329" i="17"/>
  <c r="B330" i="17"/>
  <c r="H329" i="17"/>
  <c r="K329" i="17"/>
  <c r="J329" i="17"/>
  <c r="H330" i="17"/>
  <c r="K330" i="17"/>
  <c r="J330" i="17"/>
  <c r="L330" i="17"/>
  <c r="B331" i="17"/>
  <c r="J331" i="17"/>
  <c r="L331" i="17"/>
  <c r="B332" i="17"/>
  <c r="H331" i="17"/>
  <c r="K331" i="17"/>
  <c r="J332" i="17"/>
  <c r="B333" i="17"/>
  <c r="H332" i="17"/>
  <c r="K332" i="17"/>
  <c r="L332" i="17"/>
  <c r="L333" i="17"/>
  <c r="J333" i="17"/>
  <c r="H333" i="17"/>
  <c r="K333" i="17"/>
  <c r="B334" i="17"/>
  <c r="B335" i="17"/>
  <c r="L334" i="17"/>
  <c r="J334" i="17"/>
  <c r="H334" i="17"/>
  <c r="K334" i="17"/>
  <c r="B336" i="17"/>
  <c r="J335" i="17"/>
  <c r="L335" i="17"/>
  <c r="H335" i="17"/>
  <c r="K335" i="17"/>
  <c r="B337" i="17"/>
  <c r="J336" i="17"/>
  <c r="L336" i="17"/>
  <c r="H336" i="17"/>
  <c r="K336" i="17"/>
  <c r="H337" i="17"/>
  <c r="K337" i="17"/>
  <c r="L337" i="17"/>
  <c r="J337" i="17"/>
  <c r="B338" i="17"/>
  <c r="H338" i="17"/>
  <c r="K338" i="17"/>
  <c r="L338" i="17"/>
  <c r="J338" i="17"/>
  <c r="B339" i="17"/>
  <c r="B340" i="17"/>
  <c r="H339" i="17"/>
  <c r="K339" i="17"/>
  <c r="J339" i="17"/>
  <c r="L339" i="17"/>
  <c r="L340" i="17"/>
  <c r="J340" i="17"/>
  <c r="B341" i="17"/>
  <c r="H340" i="17"/>
  <c r="K340" i="17"/>
  <c r="L341" i="17"/>
  <c r="J341" i="17"/>
  <c r="H341" i="17"/>
  <c r="K341" i="17"/>
  <c r="B342" i="17"/>
  <c r="B343" i="17"/>
  <c r="L342" i="17"/>
  <c r="J342" i="17"/>
  <c r="H342" i="17"/>
  <c r="K342" i="17"/>
  <c r="L343" i="17"/>
  <c r="J343" i="17"/>
  <c r="B344" i="17"/>
  <c r="H343" i="17"/>
  <c r="K343" i="17"/>
  <c r="B345" i="17"/>
  <c r="L344" i="17"/>
  <c r="J344" i="17"/>
  <c r="H344" i="17"/>
  <c r="K344" i="17"/>
  <c r="J345" i="17"/>
  <c r="L345" i="17"/>
  <c r="B346" i="17"/>
  <c r="H345" i="17"/>
  <c r="K345" i="17"/>
  <c r="H346" i="17"/>
  <c r="K346" i="17"/>
  <c r="L346" i="17"/>
  <c r="J346" i="17"/>
  <c r="B347" i="17"/>
  <c r="L347" i="17"/>
  <c r="J347" i="17"/>
  <c r="B348" i="17"/>
  <c r="H347" i="17"/>
  <c r="K347" i="17"/>
  <c r="J348" i="17"/>
  <c r="L348" i="17"/>
  <c r="H348" i="17"/>
  <c r="K348" i="17"/>
  <c r="B349" i="17"/>
  <c r="L349" i="17"/>
  <c r="J349" i="17"/>
  <c r="B350" i="17"/>
  <c r="H349" i="17"/>
  <c r="K349" i="17"/>
  <c r="J350" i="17"/>
  <c r="H350" i="17"/>
  <c r="K350" i="17"/>
  <c r="B351" i="17"/>
  <c r="L350" i="17"/>
  <c r="L351" i="17"/>
  <c r="J351" i="17"/>
  <c r="B352" i="17"/>
  <c r="H351" i="17"/>
  <c r="K351" i="17"/>
  <c r="L352" i="17"/>
  <c r="J352" i="17"/>
  <c r="H352" i="17"/>
  <c r="K352" i="17"/>
  <c r="B353" i="17"/>
  <c r="H353" i="17"/>
  <c r="K353" i="17"/>
  <c r="J353" i="17"/>
  <c r="L353" i="17"/>
  <c r="B354" i="17"/>
  <c r="L354" i="17"/>
  <c r="B355" i="17"/>
  <c r="H354" i="17"/>
  <c r="K354" i="17"/>
  <c r="J354" i="17"/>
  <c r="J355" i="17"/>
  <c r="B356" i="17"/>
  <c r="L355" i="17"/>
  <c r="H355" i="17"/>
  <c r="K355" i="17"/>
  <c r="B357" i="17"/>
  <c r="L356" i="17"/>
  <c r="J356" i="17"/>
  <c r="H356" i="17"/>
  <c r="K356" i="17"/>
  <c r="H357" i="17"/>
  <c r="K357" i="17"/>
  <c r="L357" i="17"/>
  <c r="B358" i="17"/>
  <c r="J357" i="17"/>
  <c r="B359" i="17"/>
  <c r="L358" i="17"/>
  <c r="J358" i="17"/>
  <c r="H358" i="17"/>
  <c r="K358" i="17"/>
  <c r="L359" i="17"/>
  <c r="J359" i="17"/>
  <c r="B360" i="17"/>
  <c r="H359" i="17"/>
  <c r="K359" i="17"/>
  <c r="J360" i="17"/>
  <c r="L360" i="17"/>
  <c r="H360" i="17"/>
  <c r="K360" i="17"/>
  <c r="B361" i="17"/>
  <c r="J361" i="17"/>
  <c r="L361" i="17"/>
  <c r="B362" i="17"/>
  <c r="H361" i="17"/>
  <c r="K361" i="17"/>
  <c r="B363" i="17"/>
  <c r="L362" i="17"/>
  <c r="J362" i="17"/>
  <c r="H362" i="17"/>
  <c r="K362" i="17"/>
  <c r="H363" i="17"/>
  <c r="K363" i="17"/>
  <c r="L363" i="17"/>
  <c r="B364" i="17"/>
  <c r="J363" i="17"/>
  <c r="B365" i="17"/>
  <c r="J364" i="17"/>
  <c r="L364" i="17"/>
  <c r="H364" i="17"/>
  <c r="K364" i="17"/>
  <c r="J365" i="17"/>
  <c r="B366" i="17"/>
  <c r="H365" i="17"/>
  <c r="K365" i="17"/>
  <c r="L365" i="17"/>
  <c r="L366" i="17"/>
  <c r="B367" i="17"/>
  <c r="J366" i="17"/>
  <c r="H366" i="17"/>
  <c r="K366" i="17"/>
  <c r="B368" i="17"/>
  <c r="L367" i="17"/>
  <c r="J367" i="17"/>
  <c r="H367" i="17"/>
  <c r="K367" i="17"/>
  <c r="D152" i="17"/>
  <c r="D153" i="17"/>
  <c r="D154" i="17"/>
  <c r="D155" i="17"/>
  <c r="D156" i="17"/>
  <c r="D157" i="17"/>
  <c r="D158" i="17"/>
  <c r="D159" i="17"/>
  <c r="D160" i="17"/>
  <c r="D161" i="17"/>
  <c r="D162" i="17"/>
  <c r="D163" i="17"/>
  <c r="D164" i="17"/>
  <c r="D165" i="17"/>
  <c r="D166" i="17"/>
  <c r="D167" i="17"/>
  <c r="D168" i="17"/>
  <c r="D169" i="17"/>
  <c r="D170" i="17"/>
  <c r="D171" i="17"/>
  <c r="D172" i="17"/>
  <c r="D173" i="17"/>
  <c r="D174" i="17"/>
  <c r="D175" i="17"/>
  <c r="D176" i="17"/>
  <c r="D177" i="17"/>
  <c r="D178" i="17"/>
  <c r="D179" i="17"/>
  <c r="D180" i="17"/>
  <c r="D181" i="17"/>
  <c r="D182" i="17"/>
  <c r="D183" i="17"/>
  <c r="D184" i="17"/>
  <c r="D185" i="17"/>
  <c r="D186" i="17"/>
  <c r="D187" i="17"/>
  <c r="D188" i="17"/>
  <c r="D189" i="17"/>
  <c r="D190" i="17"/>
  <c r="D191" i="17"/>
  <c r="D192" i="17"/>
  <c r="D193" i="17"/>
  <c r="D194" i="17"/>
  <c r="D195" i="17"/>
  <c r="D196" i="17"/>
  <c r="D197" i="17"/>
  <c r="D198" i="17"/>
  <c r="D199" i="17"/>
  <c r="D200" i="17"/>
  <c r="D201" i="17"/>
  <c r="D202" i="17"/>
  <c r="D203" i="17"/>
  <c r="D204" i="17"/>
  <c r="D205" i="17"/>
  <c r="D206" i="17"/>
  <c r="D207" i="17"/>
  <c r="D208" i="17"/>
  <c r="D209" i="17"/>
  <c r="D210" i="17"/>
  <c r="D211" i="17"/>
  <c r="D212" i="17"/>
  <c r="D213" i="17"/>
  <c r="D214" i="17"/>
  <c r="D215" i="17"/>
  <c r="D216" i="17"/>
  <c r="D217" i="17"/>
  <c r="D218" i="17"/>
  <c r="D219" i="17"/>
  <c r="D220" i="17"/>
  <c r="D221" i="17"/>
  <c r="D222" i="17"/>
  <c r="D223" i="17"/>
  <c r="D224" i="17"/>
  <c r="D225" i="17"/>
  <c r="D226" i="17"/>
  <c r="D227" i="17"/>
  <c r="D228" i="17"/>
  <c r="D229" i="17"/>
  <c r="D230" i="17"/>
  <c r="D231" i="17"/>
  <c r="D232" i="17"/>
  <c r="D233" i="17"/>
  <c r="D234" i="17"/>
  <c r="D235" i="17"/>
  <c r="D236" i="17"/>
  <c r="D237" i="17"/>
  <c r="D238" i="17"/>
  <c r="D239" i="17"/>
  <c r="D240" i="17"/>
  <c r="D241" i="17"/>
  <c r="D242" i="17"/>
  <c r="D243" i="17"/>
  <c r="D244" i="17"/>
  <c r="D245" i="17"/>
  <c r="D246" i="17"/>
  <c r="D247" i="17"/>
  <c r="D248" i="17"/>
  <c r="D249" i="17"/>
  <c r="D250" i="17"/>
  <c r="D251" i="17"/>
  <c r="D252" i="17"/>
  <c r="D253" i="17"/>
  <c r="D254" i="17"/>
  <c r="D255" i="17"/>
  <c r="D256" i="17"/>
  <c r="D257" i="17"/>
  <c r="D258" i="17"/>
  <c r="D259" i="17"/>
  <c r="D260" i="17"/>
  <c r="D261" i="17"/>
  <c r="D262" i="17"/>
  <c r="D263" i="17"/>
  <c r="D264" i="17"/>
  <c r="D265" i="17"/>
  <c r="D266" i="17"/>
  <c r="D267" i="17"/>
  <c r="D268" i="17"/>
  <c r="D269" i="17"/>
  <c r="D270" i="17"/>
  <c r="D271" i="17"/>
  <c r="D272" i="17"/>
  <c r="D273" i="17"/>
  <c r="D274" i="17"/>
  <c r="D275" i="17"/>
  <c r="D276" i="17"/>
  <c r="D277" i="17"/>
  <c r="D278" i="17"/>
  <c r="D279" i="17"/>
  <c r="D280" i="17"/>
  <c r="D281" i="17"/>
  <c r="D282" i="17"/>
  <c r="D283" i="17"/>
  <c r="D284" i="17"/>
  <c r="D285" i="17"/>
  <c r="D286" i="17"/>
  <c r="D287" i="17"/>
  <c r="D288" i="17"/>
  <c r="D289" i="17"/>
  <c r="D290" i="17"/>
  <c r="D291" i="17"/>
  <c r="D292" i="17"/>
  <c r="D293" i="17"/>
  <c r="D294" i="17"/>
  <c r="D295" i="17"/>
  <c r="D296" i="17"/>
  <c r="D297" i="17"/>
  <c r="D298" i="17"/>
  <c r="D299" i="17"/>
  <c r="D300" i="17"/>
  <c r="D301" i="17"/>
  <c r="D302" i="17"/>
  <c r="D303" i="17"/>
  <c r="D304" i="17"/>
  <c r="D305" i="17"/>
  <c r="D306" i="17"/>
  <c r="D307" i="17"/>
  <c r="D308" i="17"/>
  <c r="D309" i="17"/>
  <c r="D310" i="17"/>
  <c r="D311" i="17"/>
  <c r="D312" i="17"/>
  <c r="D313" i="17"/>
  <c r="D314" i="17"/>
  <c r="D315" i="17"/>
  <c r="D316" i="17"/>
  <c r="D317" i="17"/>
  <c r="D318" i="17"/>
  <c r="D319" i="17"/>
  <c r="I12" i="18"/>
  <c r="E8" i="19"/>
  <c r="E9" i="19"/>
  <c r="E10" i="19"/>
  <c r="H150" i="17"/>
  <c r="K150" i="17"/>
  <c r="H155" i="17"/>
  <c r="K155" i="17"/>
  <c r="H159" i="17"/>
  <c r="K159" i="17"/>
  <c r="H171" i="17"/>
  <c r="K171" i="17"/>
  <c r="H172" i="17"/>
  <c r="K172" i="17"/>
  <c r="H183" i="17"/>
  <c r="K183" i="17"/>
  <c r="H190" i="17"/>
  <c r="K190" i="17"/>
  <c r="H192" i="17"/>
  <c r="K192" i="17"/>
  <c r="H194" i="17"/>
  <c r="K194" i="17"/>
  <c r="H196" i="17"/>
  <c r="K196" i="17"/>
  <c r="H200" i="17"/>
  <c r="K200" i="17"/>
  <c r="H204" i="17"/>
  <c r="K204" i="17"/>
  <c r="H207" i="17"/>
  <c r="K207" i="17"/>
  <c r="H213" i="17"/>
  <c r="K213" i="17"/>
  <c r="H215" i="17"/>
  <c r="K215" i="17"/>
  <c r="H218" i="17"/>
  <c r="K218" i="17"/>
  <c r="H221" i="17"/>
  <c r="K221" i="17"/>
  <c r="H222" i="17"/>
  <c r="K222" i="17"/>
  <c r="H235" i="17"/>
  <c r="K235" i="17"/>
  <c r="H236" i="17"/>
  <c r="K236" i="17"/>
  <c r="H240" i="17"/>
  <c r="K240" i="17"/>
  <c r="H242" i="17"/>
  <c r="K242" i="17"/>
  <c r="H245" i="17"/>
  <c r="K245" i="17"/>
  <c r="H247" i="17"/>
  <c r="K247" i="17"/>
  <c r="H249" i="17"/>
  <c r="K249" i="17"/>
  <c r="H254" i="17"/>
  <c r="K254" i="17"/>
  <c r="H255" i="17"/>
  <c r="K255" i="17"/>
  <c r="H256" i="17"/>
  <c r="K256" i="17"/>
  <c r="H263" i="17"/>
  <c r="K263" i="17"/>
  <c r="H266" i="17"/>
  <c r="K266" i="17"/>
  <c r="H268" i="17"/>
  <c r="K268" i="17"/>
  <c r="H270" i="17"/>
  <c r="K270" i="17"/>
  <c r="H273" i="17"/>
  <c r="K273" i="17"/>
  <c r="H276" i="17"/>
  <c r="K276" i="17"/>
  <c r="H278" i="17"/>
  <c r="K278" i="17"/>
  <c r="H280" i="17"/>
  <c r="K280" i="17"/>
  <c r="E59" i="9"/>
  <c r="E33" i="16"/>
  <c r="I13" i="18"/>
  <c r="I14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29" i="18"/>
  <c r="I30" i="18"/>
  <c r="I31" i="18"/>
  <c r="I32" i="18"/>
  <c r="I33" i="18"/>
  <c r="I34" i="18"/>
  <c r="I35" i="18"/>
  <c r="I36" i="18"/>
  <c r="I37" i="18"/>
  <c r="U31" i="9" l="1"/>
  <c r="S44" i="9"/>
  <c r="S48" i="9"/>
  <c r="S40" i="9"/>
  <c r="S36" i="9"/>
  <c r="S32" i="9"/>
  <c r="S33" i="9"/>
  <c r="S39" i="9"/>
  <c r="S37" i="9"/>
  <c r="S35" i="9"/>
  <c r="S43" i="9"/>
  <c r="S51" i="9"/>
  <c r="S47" i="9"/>
  <c r="S50" i="9"/>
  <c r="S46" i="9"/>
  <c r="V31" i="9"/>
  <c r="S49" i="9"/>
  <c r="S45" i="9"/>
  <c r="S41" i="9"/>
  <c r="S38" i="9"/>
  <c r="S34" i="9"/>
  <c r="S42" i="9"/>
  <c r="C367" i="17"/>
  <c r="G367" i="17"/>
  <c r="F367" i="17"/>
  <c r="M367" i="17" s="1"/>
  <c r="E367" i="17"/>
  <c r="D367" i="17"/>
  <c r="C366" i="17"/>
  <c r="G366" i="17"/>
  <c r="F366" i="17"/>
  <c r="M366" i="17" s="1"/>
  <c r="E366" i="17"/>
  <c r="D366" i="17"/>
  <c r="C365" i="17"/>
  <c r="G365" i="17"/>
  <c r="F365" i="17"/>
  <c r="M365" i="17" s="1"/>
  <c r="E365" i="17"/>
  <c r="D365" i="17"/>
  <c r="C364" i="17"/>
  <c r="G364" i="17"/>
  <c r="F364" i="17"/>
  <c r="M364" i="17" s="1"/>
  <c r="E364" i="17"/>
  <c r="D364" i="17"/>
  <c r="C363" i="17"/>
  <c r="G363" i="17"/>
  <c r="F363" i="17"/>
  <c r="M363" i="17" s="1"/>
  <c r="E363" i="17"/>
  <c r="D363" i="17"/>
  <c r="C362" i="17"/>
  <c r="G362" i="17"/>
  <c r="F362" i="17"/>
  <c r="M362" i="17"/>
  <c r="E362" i="17"/>
  <c r="D362" i="17"/>
  <c r="C361" i="17"/>
  <c r="G361" i="17"/>
  <c r="F361" i="17"/>
  <c r="M361" i="17" s="1"/>
  <c r="E361" i="17"/>
  <c r="D361" i="17"/>
  <c r="C360" i="17"/>
  <c r="G360" i="17"/>
  <c r="F360" i="17"/>
  <c r="M360" i="17" s="1"/>
  <c r="E360" i="17"/>
  <c r="D360" i="17"/>
  <c r="C359" i="17"/>
  <c r="G359" i="17"/>
  <c r="F359" i="17"/>
  <c r="M359" i="17" s="1"/>
  <c r="E359" i="17"/>
  <c r="D359" i="17"/>
  <c r="C358" i="17"/>
  <c r="G358" i="17"/>
  <c r="F358" i="17"/>
  <c r="M358" i="17" s="1"/>
  <c r="E358" i="17"/>
  <c r="D358" i="17"/>
  <c r="C357" i="17"/>
  <c r="G357" i="17"/>
  <c r="F357" i="17"/>
  <c r="M357" i="17" s="1"/>
  <c r="E357" i="17"/>
  <c r="D357" i="17"/>
  <c r="C356" i="17"/>
  <c r="G356" i="17"/>
  <c r="F356" i="17"/>
  <c r="M356" i="17" s="1"/>
  <c r="E356" i="17"/>
  <c r="D356" i="17"/>
  <c r="C355" i="17"/>
  <c r="G355" i="17"/>
  <c r="F355" i="17"/>
  <c r="M355" i="17" s="1"/>
  <c r="E355" i="17"/>
  <c r="D355" i="17"/>
  <c r="C354" i="17"/>
  <c r="G354" i="17"/>
  <c r="F354" i="17"/>
  <c r="M354" i="17"/>
  <c r="E354" i="17"/>
  <c r="D354" i="17"/>
  <c r="C353" i="17"/>
  <c r="G353" i="17"/>
  <c r="F353" i="17"/>
  <c r="M353" i="17" s="1"/>
  <c r="E353" i="17"/>
  <c r="D353" i="17"/>
  <c r="C352" i="17"/>
  <c r="G352" i="17"/>
  <c r="F352" i="17"/>
  <c r="M352" i="17" s="1"/>
  <c r="E352" i="17"/>
  <c r="D352" i="17"/>
  <c r="C351" i="17"/>
  <c r="G351" i="17"/>
  <c r="F351" i="17"/>
  <c r="M351" i="17" s="1"/>
  <c r="E351" i="17"/>
  <c r="D351" i="17"/>
  <c r="C350" i="17"/>
  <c r="G350" i="17"/>
  <c r="F350" i="17"/>
  <c r="M350" i="17" s="1"/>
  <c r="E350" i="17"/>
  <c r="D350" i="17"/>
  <c r="C349" i="17"/>
  <c r="G349" i="17"/>
  <c r="F349" i="17"/>
  <c r="M349" i="17" s="1"/>
  <c r="E349" i="17"/>
  <c r="D349" i="17"/>
  <c r="C348" i="17"/>
  <c r="G348" i="17"/>
  <c r="F348" i="17"/>
  <c r="M348" i="17" s="1"/>
  <c r="E348" i="17"/>
  <c r="D348" i="17"/>
  <c r="C347" i="17"/>
  <c r="G347" i="17"/>
  <c r="F347" i="17"/>
  <c r="M347" i="17" s="1"/>
  <c r="E347" i="17"/>
  <c r="D347" i="17"/>
  <c r="C346" i="17"/>
  <c r="G346" i="17"/>
  <c r="F346" i="17"/>
  <c r="M346" i="17" s="1"/>
  <c r="E346" i="17"/>
  <c r="D346" i="17"/>
  <c r="C345" i="17"/>
  <c r="G345" i="17"/>
  <c r="F345" i="17"/>
  <c r="M345" i="17" s="1"/>
  <c r="E345" i="17"/>
  <c r="D345" i="17"/>
  <c r="C344" i="17"/>
  <c r="G344" i="17"/>
  <c r="F344" i="17"/>
  <c r="M344" i="17" s="1"/>
  <c r="E344" i="17"/>
  <c r="D344" i="17"/>
  <c r="C343" i="17"/>
  <c r="G343" i="17"/>
  <c r="F343" i="17"/>
  <c r="M343" i="17" s="1"/>
  <c r="E343" i="17"/>
  <c r="D343" i="17"/>
  <c r="C342" i="17"/>
  <c r="G342" i="17"/>
  <c r="F342" i="17"/>
  <c r="M342" i="17" s="1"/>
  <c r="E342" i="17"/>
  <c r="D342" i="17"/>
  <c r="C341" i="17"/>
  <c r="G341" i="17"/>
  <c r="F341" i="17"/>
  <c r="M341" i="17" s="1"/>
  <c r="E341" i="17"/>
  <c r="D341" i="17"/>
  <c r="C340" i="17"/>
  <c r="G340" i="17"/>
  <c r="F340" i="17"/>
  <c r="M340" i="17" s="1"/>
  <c r="E340" i="17"/>
  <c r="D340" i="17"/>
  <c r="C339" i="17"/>
  <c r="G339" i="17"/>
  <c r="F339" i="17"/>
  <c r="M339" i="17" s="1"/>
  <c r="E339" i="17"/>
  <c r="D339" i="17"/>
  <c r="C338" i="17"/>
  <c r="G338" i="17"/>
  <c r="F338" i="17"/>
  <c r="M338" i="17" s="1"/>
  <c r="E338" i="17"/>
  <c r="D338" i="17"/>
  <c r="C337" i="17"/>
  <c r="G337" i="17"/>
  <c r="F337" i="17"/>
  <c r="M337" i="17" s="1"/>
  <c r="E337" i="17"/>
  <c r="D337" i="17"/>
  <c r="C336" i="17"/>
  <c r="G336" i="17"/>
  <c r="F336" i="17"/>
  <c r="M336" i="17" s="1"/>
  <c r="E336" i="17"/>
  <c r="D336" i="17"/>
  <c r="C335" i="17"/>
  <c r="G335" i="17"/>
  <c r="F335" i="17"/>
  <c r="M335" i="17" s="1"/>
  <c r="E335" i="17"/>
  <c r="D335" i="17"/>
  <c r="C334" i="17"/>
  <c r="G334" i="17"/>
  <c r="F334" i="17"/>
  <c r="M334" i="17" s="1"/>
  <c r="E334" i="17"/>
  <c r="D334" i="17"/>
  <c r="C333" i="17"/>
  <c r="G333" i="17"/>
  <c r="F333" i="17"/>
  <c r="M333" i="17" s="1"/>
  <c r="E333" i="17"/>
  <c r="D333" i="17"/>
  <c r="C332" i="17"/>
  <c r="G332" i="17"/>
  <c r="F332" i="17"/>
  <c r="M332" i="17" s="1"/>
  <c r="E332" i="17"/>
  <c r="D332" i="17"/>
  <c r="C331" i="17"/>
  <c r="G331" i="17"/>
  <c r="F331" i="17"/>
  <c r="M331" i="17" s="1"/>
  <c r="E331" i="17"/>
  <c r="D331" i="17"/>
  <c r="C330" i="17"/>
  <c r="G330" i="17"/>
  <c r="F330" i="17"/>
  <c r="M330" i="17" s="1"/>
  <c r="E330" i="17"/>
  <c r="D330" i="17"/>
  <c r="C329" i="17"/>
  <c r="G329" i="17"/>
  <c r="F329" i="17"/>
  <c r="M329" i="17" s="1"/>
  <c r="E329" i="17"/>
  <c r="D329" i="17"/>
  <c r="C328" i="17"/>
  <c r="G328" i="17"/>
  <c r="F328" i="17"/>
  <c r="M328" i="17" s="1"/>
  <c r="E328" i="17"/>
  <c r="D328" i="17"/>
  <c r="C327" i="17"/>
  <c r="G327" i="17"/>
  <c r="F327" i="17"/>
  <c r="M327" i="17" s="1"/>
  <c r="E327" i="17"/>
  <c r="D327" i="17"/>
  <c r="C326" i="17"/>
  <c r="G326" i="17"/>
  <c r="F326" i="17"/>
  <c r="M326" i="17" s="1"/>
  <c r="E326" i="17"/>
  <c r="D326" i="17"/>
  <c r="C325" i="17"/>
  <c r="G325" i="17"/>
  <c r="F325" i="17"/>
  <c r="M325" i="17" s="1"/>
  <c r="E325" i="17"/>
  <c r="D325" i="17"/>
  <c r="C324" i="17"/>
  <c r="G324" i="17"/>
  <c r="F324" i="17"/>
  <c r="M324" i="17" s="1"/>
  <c r="E324" i="17"/>
  <c r="D324" i="17"/>
  <c r="C323" i="17"/>
  <c r="G323" i="17"/>
  <c r="F323" i="17"/>
  <c r="M323" i="17" s="1"/>
  <c r="E323" i="17"/>
  <c r="D323" i="17"/>
  <c r="C322" i="17"/>
  <c r="G322" i="17"/>
  <c r="F322" i="17"/>
  <c r="M322" i="17"/>
  <c r="E322" i="17"/>
  <c r="D322" i="17"/>
  <c r="C321" i="17"/>
  <c r="G321" i="17"/>
  <c r="F321" i="17"/>
  <c r="M321" i="17" s="1"/>
  <c r="E321" i="17"/>
  <c r="D321" i="17"/>
  <c r="C320" i="17"/>
  <c r="G320" i="17"/>
  <c r="F320" i="17"/>
  <c r="M320" i="17" s="1"/>
  <c r="E320" i="17"/>
  <c r="D320" i="17"/>
  <c r="C319" i="17"/>
  <c r="G319" i="17"/>
  <c r="F319" i="17"/>
  <c r="M319" i="17" s="1"/>
  <c r="E319" i="17"/>
  <c r="C318" i="17"/>
  <c r="G318" i="17"/>
  <c r="F318" i="17"/>
  <c r="M318" i="17" s="1"/>
  <c r="E318" i="17"/>
  <c r="C317" i="17"/>
  <c r="G317" i="17"/>
  <c r="F317" i="17"/>
  <c r="M317" i="17" s="1"/>
  <c r="E317" i="17"/>
  <c r="C316" i="17"/>
  <c r="G316" i="17"/>
  <c r="F316" i="17"/>
  <c r="M316" i="17" s="1"/>
  <c r="E316" i="17"/>
  <c r="C315" i="17"/>
  <c r="G315" i="17"/>
  <c r="F315" i="17"/>
  <c r="M315" i="17" s="1"/>
  <c r="E315" i="17"/>
  <c r="C314" i="17"/>
  <c r="G314" i="17"/>
  <c r="F314" i="17"/>
  <c r="M314" i="17"/>
  <c r="E314" i="17"/>
  <c r="C313" i="17"/>
  <c r="G313" i="17"/>
  <c r="F313" i="17"/>
  <c r="M313" i="17" s="1"/>
  <c r="E313" i="17"/>
  <c r="C312" i="17"/>
  <c r="G312" i="17"/>
  <c r="F312" i="17"/>
  <c r="M312" i="17" s="1"/>
  <c r="E312" i="17"/>
  <c r="C311" i="17"/>
  <c r="G311" i="17"/>
  <c r="F311" i="17"/>
  <c r="M311" i="17" s="1"/>
  <c r="E311" i="17"/>
  <c r="C310" i="17"/>
  <c r="G310" i="17"/>
  <c r="F310" i="17"/>
  <c r="M310" i="17" s="1"/>
  <c r="E310" i="17"/>
  <c r="C309" i="17"/>
  <c r="G309" i="17"/>
  <c r="F309" i="17"/>
  <c r="M309" i="17" s="1"/>
  <c r="E309" i="17"/>
  <c r="C308" i="17"/>
  <c r="G308" i="17"/>
  <c r="F308" i="17"/>
  <c r="M308" i="17" s="1"/>
  <c r="E308" i="17"/>
  <c r="C307" i="17"/>
  <c r="G307" i="17"/>
  <c r="F307" i="17"/>
  <c r="M307" i="17" s="1"/>
  <c r="E307" i="17"/>
  <c r="C306" i="17"/>
  <c r="G306" i="17"/>
  <c r="F306" i="17"/>
  <c r="M306" i="17" s="1"/>
  <c r="E306" i="17"/>
  <c r="C305" i="17"/>
  <c r="G305" i="17"/>
  <c r="F305" i="17"/>
  <c r="M305" i="17" s="1"/>
  <c r="E305" i="17"/>
  <c r="C304" i="17"/>
  <c r="G304" i="17"/>
  <c r="F304" i="17"/>
  <c r="M304" i="17"/>
  <c r="E304" i="17"/>
  <c r="C303" i="17"/>
  <c r="G303" i="17"/>
  <c r="F303" i="17"/>
  <c r="M303" i="17" s="1"/>
  <c r="E303" i="17"/>
  <c r="C302" i="17"/>
  <c r="G302" i="17"/>
  <c r="F302" i="17"/>
  <c r="M302" i="17" s="1"/>
  <c r="E302" i="17"/>
  <c r="C301" i="17"/>
  <c r="G301" i="17"/>
  <c r="F301" i="17"/>
  <c r="M301" i="17" s="1"/>
  <c r="E301" i="17"/>
  <c r="C300" i="17"/>
  <c r="G300" i="17"/>
  <c r="F300" i="17"/>
  <c r="M300" i="17" s="1"/>
  <c r="E300" i="17"/>
  <c r="C299" i="17"/>
  <c r="G299" i="17"/>
  <c r="F299" i="17"/>
  <c r="M299" i="17" s="1"/>
  <c r="E299" i="17"/>
  <c r="C298" i="17"/>
  <c r="G298" i="17"/>
  <c r="F298" i="17"/>
  <c r="M298" i="17" s="1"/>
  <c r="E298" i="17"/>
  <c r="C297" i="17"/>
  <c r="G297" i="17"/>
  <c r="F297" i="17"/>
  <c r="M297" i="17" s="1"/>
  <c r="E297" i="17"/>
  <c r="C296" i="17"/>
  <c r="G296" i="17"/>
  <c r="F296" i="17"/>
  <c r="M296" i="17" s="1"/>
  <c r="E296" i="17"/>
  <c r="C295" i="17"/>
  <c r="G295" i="17"/>
  <c r="F295" i="17"/>
  <c r="M295" i="17" s="1"/>
  <c r="E295" i="17"/>
  <c r="C294" i="17"/>
  <c r="G294" i="17"/>
  <c r="F294" i="17"/>
  <c r="M294" i="17" s="1"/>
  <c r="E294" i="17"/>
  <c r="C293" i="17"/>
  <c r="G293" i="17"/>
  <c r="F293" i="17"/>
  <c r="M293" i="17" s="1"/>
  <c r="E293" i="17"/>
  <c r="C292" i="17"/>
  <c r="G292" i="17"/>
  <c r="F292" i="17"/>
  <c r="M292" i="17" s="1"/>
  <c r="E292" i="17"/>
  <c r="C291" i="17"/>
  <c r="G291" i="17"/>
  <c r="F291" i="17"/>
  <c r="M291" i="17" s="1"/>
  <c r="E291" i="17"/>
  <c r="C290" i="17"/>
  <c r="G290" i="17"/>
  <c r="F290" i="17"/>
  <c r="M290" i="17" s="1"/>
  <c r="E290" i="17"/>
  <c r="C289" i="17"/>
  <c r="G289" i="17"/>
  <c r="F289" i="17"/>
  <c r="M289" i="17" s="1"/>
  <c r="E289" i="17"/>
  <c r="C288" i="17"/>
  <c r="G288" i="17"/>
  <c r="F288" i="17"/>
  <c r="M288" i="17" s="1"/>
  <c r="E288" i="17"/>
  <c r="C287" i="17"/>
  <c r="G287" i="17"/>
  <c r="F287" i="17"/>
  <c r="M287" i="17" s="1"/>
  <c r="E287" i="17"/>
  <c r="C286" i="17"/>
  <c r="G286" i="17"/>
  <c r="F286" i="17"/>
  <c r="M286" i="17" s="1"/>
  <c r="E286" i="17"/>
  <c r="C285" i="17"/>
  <c r="G285" i="17"/>
  <c r="F285" i="17"/>
  <c r="M285" i="17" s="1"/>
  <c r="E285" i="17"/>
  <c r="C284" i="17"/>
  <c r="G284" i="17"/>
  <c r="F284" i="17"/>
  <c r="M284" i="17" s="1"/>
  <c r="E284" i="17"/>
  <c r="C283" i="17"/>
  <c r="G283" i="17"/>
  <c r="F283" i="17"/>
  <c r="M283" i="17" s="1"/>
  <c r="E283" i="17"/>
  <c r="C282" i="17"/>
  <c r="G282" i="17"/>
  <c r="F282" i="17"/>
  <c r="M282" i="17" s="1"/>
  <c r="E282" i="17"/>
  <c r="C281" i="17"/>
  <c r="G281" i="17"/>
  <c r="F281" i="17"/>
  <c r="M281" i="17" s="1"/>
  <c r="E281" i="17"/>
  <c r="C280" i="17"/>
  <c r="G280" i="17"/>
  <c r="F280" i="17"/>
  <c r="M280" i="17" s="1"/>
  <c r="E280" i="17"/>
  <c r="C279" i="17"/>
  <c r="G279" i="17"/>
  <c r="F279" i="17"/>
  <c r="M279" i="17" s="1"/>
  <c r="E279" i="17"/>
  <c r="C278" i="17"/>
  <c r="G278" i="17"/>
  <c r="F278" i="17"/>
  <c r="M278" i="17" s="1"/>
  <c r="E278" i="17"/>
  <c r="C277" i="17"/>
  <c r="G277" i="17"/>
  <c r="F277" i="17"/>
  <c r="M277" i="17" s="1"/>
  <c r="E277" i="17"/>
  <c r="C276" i="17"/>
  <c r="G276" i="17"/>
  <c r="F276" i="17"/>
  <c r="M276" i="17" s="1"/>
  <c r="E276" i="17"/>
  <c r="C275" i="17"/>
  <c r="G275" i="17"/>
  <c r="F275" i="17"/>
  <c r="M275" i="17" s="1"/>
  <c r="E275" i="17"/>
  <c r="C274" i="17"/>
  <c r="G274" i="17"/>
  <c r="F274" i="17"/>
  <c r="M274" i="17" s="1"/>
  <c r="E274" i="17"/>
  <c r="C273" i="17"/>
  <c r="G273" i="17"/>
  <c r="F273" i="17"/>
  <c r="M273" i="17" s="1"/>
  <c r="E273" i="17"/>
  <c r="C272" i="17"/>
  <c r="G272" i="17"/>
  <c r="F272" i="17"/>
  <c r="M272" i="17"/>
  <c r="E272" i="17"/>
  <c r="C271" i="17"/>
  <c r="G271" i="17"/>
  <c r="F271" i="17"/>
  <c r="M271" i="17" s="1"/>
  <c r="E271" i="17"/>
  <c r="C270" i="17"/>
  <c r="G270" i="17"/>
  <c r="F270" i="17"/>
  <c r="M270" i="17" s="1"/>
  <c r="E270" i="17"/>
  <c r="C269" i="17"/>
  <c r="G269" i="17"/>
  <c r="F269" i="17"/>
  <c r="M269" i="17" s="1"/>
  <c r="E269" i="17"/>
  <c r="C268" i="17"/>
  <c r="G268" i="17"/>
  <c r="F268" i="17"/>
  <c r="M268" i="17" s="1"/>
  <c r="E268" i="17"/>
  <c r="C267" i="17"/>
  <c r="G267" i="17"/>
  <c r="F267" i="17"/>
  <c r="M267" i="17" s="1"/>
  <c r="E267" i="17"/>
  <c r="C266" i="17"/>
  <c r="G266" i="17"/>
  <c r="F266" i="17"/>
  <c r="M266" i="17" s="1"/>
  <c r="E266" i="17"/>
  <c r="C265" i="17"/>
  <c r="G265" i="17"/>
  <c r="F265" i="17"/>
  <c r="M265" i="17" s="1"/>
  <c r="E265" i="17"/>
  <c r="C264" i="17"/>
  <c r="G264" i="17"/>
  <c r="F264" i="17"/>
  <c r="M264" i="17" s="1"/>
  <c r="E264" i="17"/>
  <c r="C263" i="17"/>
  <c r="G263" i="17"/>
  <c r="F263" i="17"/>
  <c r="M263" i="17" s="1"/>
  <c r="E263" i="17"/>
  <c r="C262" i="17"/>
  <c r="G262" i="17"/>
  <c r="F262" i="17"/>
  <c r="M262" i="17" s="1"/>
  <c r="E262" i="17"/>
  <c r="C261" i="17"/>
  <c r="G261" i="17"/>
  <c r="F261" i="17"/>
  <c r="M261" i="17"/>
  <c r="E261" i="17"/>
  <c r="C260" i="17"/>
  <c r="G260" i="17"/>
  <c r="F260" i="17"/>
  <c r="M260" i="17" s="1"/>
  <c r="E260" i="17"/>
  <c r="C259" i="17"/>
  <c r="G259" i="17"/>
  <c r="F259" i="17"/>
  <c r="M259" i="17" s="1"/>
  <c r="E259" i="17"/>
  <c r="C258" i="17"/>
  <c r="G258" i="17"/>
  <c r="F258" i="17"/>
  <c r="M258" i="17" s="1"/>
  <c r="E258" i="17"/>
  <c r="C257" i="17"/>
  <c r="G257" i="17"/>
  <c r="F257" i="17"/>
  <c r="M257" i="17" s="1"/>
  <c r="E257" i="17"/>
  <c r="C256" i="17"/>
  <c r="G256" i="17"/>
  <c r="F256" i="17"/>
  <c r="M256" i="17" s="1"/>
  <c r="E256" i="17"/>
  <c r="C255" i="17"/>
  <c r="G255" i="17"/>
  <c r="F255" i="17"/>
  <c r="M255" i="17" s="1"/>
  <c r="E255" i="17"/>
  <c r="C254" i="17"/>
  <c r="G254" i="17"/>
  <c r="F254" i="17"/>
  <c r="M254" i="17" s="1"/>
  <c r="E254" i="17"/>
  <c r="C253" i="17"/>
  <c r="G253" i="17"/>
  <c r="F253" i="17"/>
  <c r="M253" i="17" s="1"/>
  <c r="E253" i="17"/>
  <c r="C252" i="17"/>
  <c r="G252" i="17"/>
  <c r="F252" i="17"/>
  <c r="M252" i="17" s="1"/>
  <c r="E252" i="17"/>
  <c r="C251" i="17"/>
  <c r="G251" i="17"/>
  <c r="F251" i="17"/>
  <c r="M251" i="17" s="1"/>
  <c r="E251" i="17"/>
  <c r="C250" i="17"/>
  <c r="G250" i="17"/>
  <c r="F250" i="17"/>
  <c r="M250" i="17" s="1"/>
  <c r="E250" i="17"/>
  <c r="C249" i="17"/>
  <c r="G249" i="17"/>
  <c r="F249" i="17"/>
  <c r="M249" i="17" s="1"/>
  <c r="E249" i="17"/>
  <c r="C248" i="17"/>
  <c r="G248" i="17"/>
  <c r="F248" i="17"/>
  <c r="M248" i="17" s="1"/>
  <c r="E248" i="17"/>
  <c r="C247" i="17"/>
  <c r="G247" i="17"/>
  <c r="F247" i="17"/>
  <c r="M247" i="17" s="1"/>
  <c r="E247" i="17"/>
  <c r="C246" i="17"/>
  <c r="G246" i="17"/>
  <c r="F246" i="17"/>
  <c r="M246" i="17" s="1"/>
  <c r="E246" i="17"/>
  <c r="C245" i="17"/>
  <c r="G245" i="17"/>
  <c r="F245" i="17"/>
  <c r="M245" i="17" s="1"/>
  <c r="E245" i="17"/>
  <c r="C244" i="17"/>
  <c r="G244" i="17"/>
  <c r="F244" i="17"/>
  <c r="M244" i="17" s="1"/>
  <c r="E244" i="17"/>
  <c r="C243" i="17"/>
  <c r="G243" i="17"/>
  <c r="F243" i="17"/>
  <c r="M243" i="17" s="1"/>
  <c r="E243" i="17"/>
  <c r="C242" i="17"/>
  <c r="G242" i="17"/>
  <c r="F242" i="17"/>
  <c r="M242" i="17" s="1"/>
  <c r="E242" i="17"/>
  <c r="C241" i="17"/>
  <c r="G241" i="17"/>
  <c r="F241" i="17"/>
  <c r="M241" i="17" s="1"/>
  <c r="E241" i="17"/>
  <c r="C240" i="17"/>
  <c r="G240" i="17"/>
  <c r="F240" i="17"/>
  <c r="M240" i="17" s="1"/>
  <c r="E240" i="17"/>
  <c r="C239" i="17"/>
  <c r="G239" i="17"/>
  <c r="F239" i="17"/>
  <c r="M239" i="17" s="1"/>
  <c r="E239" i="17"/>
  <c r="C238" i="17"/>
  <c r="G238" i="17"/>
  <c r="F238" i="17"/>
  <c r="M238" i="17" s="1"/>
  <c r="E238" i="17"/>
  <c r="C237" i="17"/>
  <c r="G237" i="17"/>
  <c r="F237" i="17"/>
  <c r="M237" i="17" s="1"/>
  <c r="E237" i="17"/>
  <c r="C236" i="17"/>
  <c r="G236" i="17"/>
  <c r="F236" i="17"/>
  <c r="M236" i="17" s="1"/>
  <c r="E236" i="17"/>
  <c r="C235" i="17"/>
  <c r="G235" i="17"/>
  <c r="F235" i="17"/>
  <c r="M235" i="17" s="1"/>
  <c r="E235" i="17"/>
  <c r="C234" i="17"/>
  <c r="G234" i="17"/>
  <c r="F234" i="17"/>
  <c r="M234" i="17" s="1"/>
  <c r="E234" i="17"/>
  <c r="C233" i="17"/>
  <c r="G233" i="17"/>
  <c r="F233" i="17"/>
  <c r="M233" i="17" s="1"/>
  <c r="E233" i="17"/>
  <c r="C232" i="17"/>
  <c r="G232" i="17"/>
  <c r="F232" i="17"/>
  <c r="M232" i="17" s="1"/>
  <c r="E232" i="17"/>
  <c r="C231" i="17"/>
  <c r="G231" i="17"/>
  <c r="F231" i="17"/>
  <c r="M231" i="17" s="1"/>
  <c r="E231" i="17"/>
  <c r="C230" i="17"/>
  <c r="G230" i="17"/>
  <c r="F230" i="17"/>
  <c r="M230" i="17" s="1"/>
  <c r="E230" i="17"/>
  <c r="C229" i="17"/>
  <c r="G229" i="17"/>
  <c r="F229" i="17"/>
  <c r="M229" i="17"/>
  <c r="E229" i="17"/>
  <c r="C228" i="17"/>
  <c r="G228" i="17"/>
  <c r="F228" i="17"/>
  <c r="M228" i="17" s="1"/>
  <c r="E228" i="17"/>
  <c r="C227" i="17"/>
  <c r="G227" i="17"/>
  <c r="F227" i="17"/>
  <c r="M227" i="17" s="1"/>
  <c r="E227" i="17"/>
  <c r="C226" i="17"/>
  <c r="G226" i="17"/>
  <c r="F226" i="17"/>
  <c r="M226" i="17" s="1"/>
  <c r="E226" i="17"/>
  <c r="C225" i="17"/>
  <c r="G225" i="17"/>
  <c r="F225" i="17"/>
  <c r="M225" i="17" s="1"/>
  <c r="E225" i="17"/>
  <c r="C224" i="17"/>
  <c r="G224" i="17"/>
  <c r="F224" i="17"/>
  <c r="M224" i="17" s="1"/>
  <c r="E224" i="17"/>
  <c r="C223" i="17"/>
  <c r="G223" i="17"/>
  <c r="F223" i="17"/>
  <c r="M223" i="17" s="1"/>
  <c r="E223" i="17"/>
  <c r="C222" i="17"/>
  <c r="G222" i="17"/>
  <c r="F222" i="17"/>
  <c r="M222" i="17" s="1"/>
  <c r="E222" i="17"/>
  <c r="C221" i="17"/>
  <c r="G221" i="17"/>
  <c r="F221" i="17"/>
  <c r="M221" i="17" s="1"/>
  <c r="E221" i="17"/>
  <c r="C220" i="17"/>
  <c r="G220" i="17"/>
  <c r="F220" i="17"/>
  <c r="M220" i="17" s="1"/>
  <c r="E220" i="17"/>
  <c r="C219" i="17"/>
  <c r="G219" i="17"/>
  <c r="F219" i="17"/>
  <c r="M219" i="17" s="1"/>
  <c r="E219" i="17"/>
  <c r="C218" i="17"/>
  <c r="G218" i="17"/>
  <c r="F218" i="17"/>
  <c r="M218" i="17"/>
  <c r="E218" i="17"/>
  <c r="C217" i="17"/>
  <c r="G217" i="17"/>
  <c r="F217" i="17"/>
  <c r="M217" i="17" s="1"/>
  <c r="E217" i="17"/>
  <c r="C216" i="17"/>
  <c r="G216" i="17"/>
  <c r="F216" i="17"/>
  <c r="M216" i="17" s="1"/>
  <c r="E216" i="17"/>
  <c r="C215" i="17"/>
  <c r="G215" i="17"/>
  <c r="F215" i="17"/>
  <c r="M215" i="17" s="1"/>
  <c r="E215" i="17"/>
  <c r="C214" i="17"/>
  <c r="G214" i="17"/>
  <c r="F214" i="17"/>
  <c r="M214" i="17" s="1"/>
  <c r="E214" i="17"/>
  <c r="C213" i="17"/>
  <c r="G213" i="17"/>
  <c r="F213" i="17"/>
  <c r="M213" i="17" s="1"/>
  <c r="E213" i="17"/>
  <c r="C212" i="17"/>
  <c r="G212" i="17"/>
  <c r="F212" i="17"/>
  <c r="M212" i="17" s="1"/>
  <c r="E212" i="17"/>
  <c r="C211" i="17"/>
  <c r="G211" i="17"/>
  <c r="F211" i="17"/>
  <c r="M211" i="17" s="1"/>
  <c r="E211" i="17"/>
  <c r="C210" i="17"/>
  <c r="G210" i="17"/>
  <c r="F210" i="17"/>
  <c r="M210" i="17" s="1"/>
  <c r="E210" i="17"/>
  <c r="C209" i="17"/>
  <c r="G209" i="17"/>
  <c r="F209" i="17"/>
  <c r="M209" i="17" s="1"/>
  <c r="E209" i="17"/>
  <c r="C208" i="17"/>
  <c r="G208" i="17"/>
  <c r="F208" i="17"/>
  <c r="M208" i="17" s="1"/>
  <c r="E208" i="17"/>
  <c r="C207" i="17"/>
  <c r="G207" i="17"/>
  <c r="F207" i="17"/>
  <c r="M207" i="17" s="1"/>
  <c r="E207" i="17"/>
  <c r="C206" i="17"/>
  <c r="G206" i="17"/>
  <c r="F206" i="17"/>
  <c r="M206" i="17" s="1"/>
  <c r="E206" i="17"/>
  <c r="C205" i="17"/>
  <c r="G205" i="17"/>
  <c r="F205" i="17"/>
  <c r="M205" i="17" s="1"/>
  <c r="E205" i="17"/>
  <c r="C204" i="17"/>
  <c r="G204" i="17"/>
  <c r="F204" i="17"/>
  <c r="M204" i="17" s="1"/>
  <c r="E204" i="17"/>
  <c r="C203" i="17"/>
  <c r="G203" i="17"/>
  <c r="F203" i="17"/>
  <c r="M203" i="17" s="1"/>
  <c r="E203" i="17"/>
  <c r="C202" i="17"/>
  <c r="G202" i="17"/>
  <c r="F202" i="17"/>
  <c r="M202" i="17" s="1"/>
  <c r="E202" i="17"/>
  <c r="C201" i="17"/>
  <c r="G201" i="17"/>
  <c r="F201" i="17"/>
  <c r="M201" i="17" s="1"/>
  <c r="E201" i="17"/>
  <c r="C200" i="17"/>
  <c r="G200" i="17"/>
  <c r="F200" i="17"/>
  <c r="M200" i="17" s="1"/>
  <c r="E200" i="17"/>
  <c r="C199" i="17"/>
  <c r="G199" i="17"/>
  <c r="F199" i="17"/>
  <c r="M199" i="17" s="1"/>
  <c r="E199" i="17"/>
  <c r="C198" i="17"/>
  <c r="G198" i="17"/>
  <c r="F198" i="17"/>
  <c r="M198" i="17" s="1"/>
  <c r="E198" i="17"/>
  <c r="C197" i="17"/>
  <c r="G197" i="17"/>
  <c r="F197" i="17"/>
  <c r="M197" i="17" s="1"/>
  <c r="E197" i="17"/>
  <c r="C196" i="17"/>
  <c r="G196" i="17"/>
  <c r="F196" i="17"/>
  <c r="M196" i="17" s="1"/>
  <c r="E196" i="17"/>
  <c r="C195" i="17"/>
  <c r="G195" i="17"/>
  <c r="F195" i="17"/>
  <c r="M195" i="17" s="1"/>
  <c r="E195" i="17"/>
  <c r="C194" i="17"/>
  <c r="G194" i="17"/>
  <c r="F194" i="17"/>
  <c r="M194" i="17" s="1"/>
  <c r="E194" i="17"/>
  <c r="C193" i="17"/>
  <c r="G193" i="17"/>
  <c r="F193" i="17"/>
  <c r="M193" i="17"/>
  <c r="E193" i="17"/>
  <c r="C192" i="17"/>
  <c r="G192" i="17"/>
  <c r="F192" i="17"/>
  <c r="M192" i="17"/>
  <c r="E192" i="17"/>
  <c r="C191" i="17"/>
  <c r="G191" i="17"/>
  <c r="F191" i="17"/>
  <c r="M191" i="17" s="1"/>
  <c r="E191" i="17"/>
  <c r="C190" i="17"/>
  <c r="G190" i="17"/>
  <c r="F190" i="17"/>
  <c r="M190" i="17" s="1"/>
  <c r="E190" i="17"/>
  <c r="C189" i="17"/>
  <c r="G189" i="17"/>
  <c r="F189" i="17"/>
  <c r="M189" i="17" s="1"/>
  <c r="E189" i="17"/>
  <c r="C188" i="17"/>
  <c r="G188" i="17"/>
  <c r="F188" i="17"/>
  <c r="M188" i="17" s="1"/>
  <c r="E188" i="17"/>
  <c r="C187" i="17"/>
  <c r="G187" i="17"/>
  <c r="F187" i="17"/>
  <c r="M187" i="17" s="1"/>
  <c r="E187" i="17"/>
  <c r="C186" i="17"/>
  <c r="G186" i="17"/>
  <c r="F186" i="17"/>
  <c r="M186" i="17" s="1"/>
  <c r="E186" i="17"/>
  <c r="C185" i="17"/>
  <c r="G185" i="17"/>
  <c r="F185" i="17"/>
  <c r="M185" i="17" s="1"/>
  <c r="E185" i="17"/>
  <c r="C184" i="17"/>
  <c r="G184" i="17"/>
  <c r="F184" i="17"/>
  <c r="M184" i="17" s="1"/>
  <c r="E184" i="17"/>
  <c r="C183" i="17"/>
  <c r="G183" i="17"/>
  <c r="F183" i="17"/>
  <c r="M183" i="17" s="1"/>
  <c r="E183" i="17"/>
  <c r="C182" i="17"/>
  <c r="G182" i="17"/>
  <c r="F182" i="17"/>
  <c r="M182" i="17" s="1"/>
  <c r="E182" i="17"/>
  <c r="C181" i="17"/>
  <c r="G181" i="17"/>
  <c r="F181" i="17"/>
  <c r="M181" i="17" s="1"/>
  <c r="E181" i="17"/>
  <c r="C180" i="17"/>
  <c r="G180" i="17"/>
  <c r="F180" i="17"/>
  <c r="M180" i="17" s="1"/>
  <c r="E180" i="17"/>
  <c r="C179" i="17"/>
  <c r="G179" i="17"/>
  <c r="F179" i="17"/>
  <c r="M179" i="17" s="1"/>
  <c r="E179" i="17"/>
  <c r="C178" i="17"/>
  <c r="G178" i="17"/>
  <c r="F178" i="17"/>
  <c r="M178" i="17" s="1"/>
  <c r="E178" i="17"/>
  <c r="C177" i="17"/>
  <c r="G177" i="17"/>
  <c r="F177" i="17"/>
  <c r="M177" i="17" s="1"/>
  <c r="E177" i="17"/>
  <c r="C176" i="17"/>
  <c r="G176" i="17"/>
  <c r="F176" i="17"/>
  <c r="M176" i="17" s="1"/>
  <c r="E176" i="17"/>
  <c r="C175" i="17"/>
  <c r="G175" i="17"/>
  <c r="F175" i="17"/>
  <c r="M175" i="17" s="1"/>
  <c r="E175" i="17"/>
  <c r="C174" i="17"/>
  <c r="G174" i="17"/>
  <c r="F174" i="17"/>
  <c r="M174" i="17" s="1"/>
  <c r="E174" i="17"/>
  <c r="C173" i="17"/>
  <c r="G173" i="17"/>
  <c r="F173" i="17"/>
  <c r="M173" i="17" s="1"/>
  <c r="E173" i="17"/>
  <c r="C172" i="17"/>
  <c r="G172" i="17"/>
  <c r="F172" i="17"/>
  <c r="M172" i="17" s="1"/>
  <c r="E172" i="17"/>
  <c r="C171" i="17"/>
  <c r="G171" i="17"/>
  <c r="F171" i="17"/>
  <c r="M171" i="17" s="1"/>
  <c r="E171" i="17"/>
  <c r="C170" i="17"/>
  <c r="G170" i="17"/>
  <c r="F170" i="17"/>
  <c r="M170" i="17" s="1"/>
  <c r="E170" i="17"/>
  <c r="C169" i="17"/>
  <c r="G169" i="17"/>
  <c r="F169" i="17"/>
  <c r="M169" i="17"/>
  <c r="E169" i="17"/>
  <c r="C168" i="17"/>
  <c r="G168" i="17"/>
  <c r="F168" i="17"/>
  <c r="M168" i="17" s="1"/>
  <c r="E168" i="17"/>
  <c r="C167" i="17"/>
  <c r="G167" i="17"/>
  <c r="F167" i="17"/>
  <c r="M167" i="17" s="1"/>
  <c r="E167" i="17"/>
  <c r="C166" i="17"/>
  <c r="G166" i="17"/>
  <c r="F166" i="17"/>
  <c r="M166" i="17" s="1"/>
  <c r="E166" i="17"/>
  <c r="C165" i="17"/>
  <c r="G165" i="17"/>
  <c r="F165" i="17"/>
  <c r="M165" i="17" s="1"/>
  <c r="E165" i="17"/>
  <c r="C164" i="17"/>
  <c r="G164" i="17"/>
  <c r="F164" i="17"/>
  <c r="M164" i="17" s="1"/>
  <c r="E164" i="17"/>
  <c r="C163" i="17"/>
  <c r="G163" i="17"/>
  <c r="F163" i="17"/>
  <c r="M163" i="17" s="1"/>
  <c r="E163" i="17"/>
  <c r="C162" i="17"/>
  <c r="G162" i="17"/>
  <c r="F162" i="17"/>
  <c r="M162" i="17" s="1"/>
  <c r="E162" i="17"/>
  <c r="C161" i="17"/>
  <c r="G161" i="17"/>
  <c r="F161" i="17"/>
  <c r="M161" i="17"/>
  <c r="E161" i="17"/>
  <c r="C160" i="17"/>
  <c r="G160" i="17"/>
  <c r="F160" i="17"/>
  <c r="M160" i="17" s="1"/>
  <c r="E160" i="17"/>
  <c r="C159" i="17"/>
  <c r="G159" i="17"/>
  <c r="F159" i="17"/>
  <c r="M159" i="17" s="1"/>
  <c r="E159" i="17"/>
  <c r="C158" i="17"/>
  <c r="G158" i="17"/>
  <c r="F158" i="17"/>
  <c r="M158" i="17" s="1"/>
  <c r="E158" i="17"/>
  <c r="C157" i="17"/>
  <c r="G157" i="17"/>
  <c r="F157" i="17"/>
  <c r="M157" i="17" s="1"/>
  <c r="E157" i="17"/>
  <c r="C156" i="17"/>
  <c r="G156" i="17"/>
  <c r="F156" i="17"/>
  <c r="M156" i="17" s="1"/>
  <c r="E156" i="17"/>
  <c r="C155" i="17"/>
  <c r="G155" i="17"/>
  <c r="F155" i="17"/>
  <c r="M155" i="17" s="1"/>
  <c r="E155" i="17"/>
  <c r="C154" i="17"/>
  <c r="G154" i="17"/>
  <c r="F154" i="17"/>
  <c r="M154" i="17" s="1"/>
  <c r="E154" i="17"/>
  <c r="C153" i="17"/>
  <c r="G153" i="17"/>
  <c r="F153" i="17"/>
  <c r="M153" i="17" s="1"/>
  <c r="E153" i="17"/>
  <c r="C152" i="17"/>
  <c r="G152" i="17"/>
  <c r="F152" i="17"/>
  <c r="M152" i="17" s="1"/>
  <c r="E152" i="17"/>
  <c r="G151" i="17"/>
  <c r="F151" i="17"/>
  <c r="M151" i="17" s="1"/>
  <c r="G150" i="17"/>
  <c r="F150" i="17"/>
  <c r="M150" i="17"/>
  <c r="G149" i="17"/>
  <c r="F149" i="17"/>
  <c r="M149" i="17" s="1"/>
  <c r="G148" i="17"/>
  <c r="F148" i="17"/>
  <c r="M148" i="17" s="1"/>
  <c r="G147" i="17"/>
  <c r="F147" i="17"/>
  <c r="M147" i="17"/>
  <c r="G146" i="17"/>
  <c r="F146" i="17"/>
  <c r="M146" i="17" s="1"/>
  <c r="G145" i="17"/>
  <c r="F145" i="17"/>
  <c r="M145" i="17" s="1"/>
  <c r="G144" i="17"/>
  <c r="F144" i="17"/>
  <c r="M144" i="17" s="1"/>
  <c r="G143" i="17"/>
  <c r="F143" i="17"/>
  <c r="M143" i="17"/>
  <c r="G142" i="17"/>
  <c r="F142" i="17"/>
  <c r="M142" i="17"/>
  <c r="G141" i="17"/>
  <c r="F141" i="17"/>
  <c r="M141" i="17" s="1"/>
  <c r="G140" i="17"/>
  <c r="F140" i="17"/>
  <c r="M140" i="17" s="1"/>
  <c r="G139" i="17"/>
  <c r="F139" i="17"/>
  <c r="M139" i="17" s="1"/>
  <c r="G138" i="17"/>
  <c r="F138" i="17"/>
  <c r="M138" i="17" s="1"/>
  <c r="J138" i="17"/>
  <c r="L138" i="17"/>
  <c r="G137" i="17"/>
  <c r="F137" i="17"/>
  <c r="M137" i="17"/>
  <c r="J137" i="17"/>
  <c r="L137" i="17"/>
  <c r="G136" i="17"/>
  <c r="F136" i="17"/>
  <c r="M136" i="17" s="1"/>
  <c r="J136" i="17"/>
  <c r="L136" i="17"/>
  <c r="G135" i="17"/>
  <c r="F135" i="17"/>
  <c r="M135" i="17" s="1"/>
  <c r="J135" i="17"/>
  <c r="L135" i="17"/>
  <c r="G134" i="17"/>
  <c r="F134" i="17"/>
  <c r="M134" i="17" s="1"/>
  <c r="J134" i="17"/>
  <c r="L134" i="17"/>
  <c r="G133" i="17"/>
  <c r="F133" i="17"/>
  <c r="M133" i="17" s="1"/>
  <c r="J133" i="17"/>
  <c r="L133" i="17"/>
  <c r="G132" i="17"/>
  <c r="F132" i="17"/>
  <c r="M132" i="17" s="1"/>
  <c r="J132" i="17"/>
  <c r="L132" i="17"/>
  <c r="G131" i="17"/>
  <c r="F131" i="17"/>
  <c r="M131" i="17" s="1"/>
  <c r="J131" i="17"/>
  <c r="L131" i="17"/>
  <c r="G130" i="17"/>
  <c r="F130" i="17"/>
  <c r="M130" i="17" s="1"/>
  <c r="J130" i="17"/>
  <c r="L130" i="17"/>
  <c r="G129" i="17"/>
  <c r="F129" i="17"/>
  <c r="M129" i="17" s="1"/>
  <c r="J129" i="17"/>
  <c r="L129" i="17"/>
  <c r="G128" i="17"/>
  <c r="F128" i="17"/>
  <c r="M128" i="17" s="1"/>
  <c r="J128" i="17"/>
  <c r="L128" i="17"/>
  <c r="G127" i="17"/>
  <c r="F127" i="17"/>
  <c r="M127" i="17" s="1"/>
  <c r="J127" i="17"/>
  <c r="L127" i="17"/>
  <c r="G126" i="17"/>
  <c r="F126" i="17"/>
  <c r="M126" i="17" s="1"/>
  <c r="J126" i="17"/>
  <c r="L126" i="17"/>
  <c r="G125" i="17"/>
  <c r="F125" i="17"/>
  <c r="M125" i="17"/>
  <c r="J125" i="17"/>
  <c r="L125" i="17"/>
  <c r="G124" i="17"/>
  <c r="F124" i="17"/>
  <c r="M124" i="17" s="1"/>
  <c r="J124" i="17"/>
  <c r="L124" i="17"/>
  <c r="G123" i="17"/>
  <c r="F123" i="17"/>
  <c r="M123" i="17" s="1"/>
  <c r="J123" i="17"/>
  <c r="L123" i="17"/>
  <c r="G122" i="17"/>
  <c r="F122" i="17"/>
  <c r="M122" i="17" s="1"/>
  <c r="J122" i="17"/>
  <c r="L122" i="17"/>
  <c r="G121" i="17"/>
  <c r="F121" i="17"/>
  <c r="M121" i="17" s="1"/>
  <c r="J121" i="17"/>
  <c r="L121" i="17"/>
  <c r="G120" i="17"/>
  <c r="F120" i="17"/>
  <c r="M120" i="17" s="1"/>
  <c r="J120" i="17"/>
  <c r="L120" i="17"/>
  <c r="G119" i="17"/>
  <c r="F119" i="17"/>
  <c r="M119" i="17" s="1"/>
  <c r="J119" i="17"/>
  <c r="L119" i="17"/>
  <c r="G118" i="17"/>
  <c r="F118" i="17"/>
  <c r="M118" i="17" s="1"/>
  <c r="J118" i="17"/>
  <c r="L118" i="17"/>
  <c r="G117" i="17"/>
  <c r="F117" i="17"/>
  <c r="M117" i="17"/>
  <c r="J117" i="17"/>
  <c r="L117" i="17"/>
  <c r="G116" i="17"/>
  <c r="F116" i="17"/>
  <c r="M116" i="17" s="1"/>
  <c r="J116" i="17"/>
  <c r="L116" i="17"/>
  <c r="G115" i="17"/>
  <c r="F115" i="17"/>
  <c r="M115" i="17" s="1"/>
  <c r="J115" i="17"/>
  <c r="L115" i="17"/>
  <c r="G114" i="17"/>
  <c r="F114" i="17"/>
  <c r="M114" i="17" s="1"/>
  <c r="J114" i="17"/>
  <c r="L114" i="17"/>
  <c r="G113" i="17"/>
  <c r="F113" i="17"/>
  <c r="M113" i="17" s="1"/>
  <c r="J113" i="17"/>
  <c r="L113" i="17"/>
  <c r="G112" i="17"/>
  <c r="F112" i="17"/>
  <c r="M112" i="17" s="1"/>
  <c r="J112" i="17"/>
  <c r="L112" i="17"/>
  <c r="G111" i="17"/>
  <c r="F111" i="17"/>
  <c r="M111" i="17" s="1"/>
  <c r="J111" i="17"/>
  <c r="L111" i="17"/>
  <c r="G110" i="17"/>
  <c r="F110" i="17"/>
  <c r="M110" i="17" s="1"/>
  <c r="J110" i="17"/>
  <c r="L110" i="17"/>
  <c r="G109" i="17"/>
  <c r="F109" i="17"/>
  <c r="M109" i="17" s="1"/>
  <c r="J109" i="17"/>
  <c r="L109" i="17"/>
  <c r="G108" i="17"/>
  <c r="F108" i="17"/>
  <c r="M108" i="17" s="1"/>
  <c r="J108" i="17"/>
  <c r="L108" i="17"/>
  <c r="G107" i="17"/>
  <c r="F107" i="17"/>
  <c r="M107" i="17" s="1"/>
  <c r="J107" i="17"/>
  <c r="L107" i="17"/>
  <c r="G106" i="17"/>
  <c r="F106" i="17"/>
  <c r="M106" i="17" s="1"/>
  <c r="J106" i="17"/>
  <c r="L106" i="17"/>
  <c r="G105" i="17"/>
  <c r="F105" i="17"/>
  <c r="M105" i="17" s="1"/>
  <c r="J105" i="17"/>
  <c r="L105" i="17"/>
  <c r="G104" i="17"/>
  <c r="F104" i="17"/>
  <c r="M104" i="17" s="1"/>
  <c r="J104" i="17"/>
  <c r="L104" i="17"/>
  <c r="G103" i="17"/>
  <c r="F103" i="17"/>
  <c r="M103" i="17" s="1"/>
  <c r="J103" i="17"/>
  <c r="L103" i="17"/>
  <c r="G102" i="17"/>
  <c r="F102" i="17"/>
  <c r="M102" i="17" s="1"/>
  <c r="J102" i="17"/>
  <c r="L102" i="17"/>
  <c r="G101" i="17"/>
  <c r="F101" i="17"/>
  <c r="M101" i="17" s="1"/>
  <c r="J101" i="17"/>
  <c r="L101" i="17"/>
  <c r="G100" i="17"/>
  <c r="F100" i="17"/>
  <c r="M100" i="17" s="1"/>
  <c r="J100" i="17"/>
  <c r="L100" i="17"/>
  <c r="G99" i="17"/>
  <c r="F99" i="17"/>
  <c r="M99" i="17" s="1"/>
  <c r="J99" i="17"/>
  <c r="L99" i="17"/>
  <c r="G98" i="17"/>
  <c r="F98" i="17"/>
  <c r="M98" i="17" s="1"/>
  <c r="J98" i="17"/>
  <c r="L98" i="17"/>
  <c r="G97" i="17"/>
  <c r="F97" i="17"/>
  <c r="M97" i="17" s="1"/>
  <c r="J97" i="17"/>
  <c r="L97" i="17"/>
  <c r="G96" i="17"/>
  <c r="F96" i="17"/>
  <c r="M96" i="17" s="1"/>
  <c r="J96" i="17"/>
  <c r="L96" i="17"/>
  <c r="G95" i="17"/>
  <c r="F95" i="17"/>
  <c r="M95" i="17" s="1"/>
  <c r="J95" i="17"/>
  <c r="L95" i="17"/>
  <c r="G94" i="17"/>
  <c r="F94" i="17"/>
  <c r="M94" i="17" s="1"/>
  <c r="J94" i="17"/>
  <c r="L94" i="17"/>
  <c r="G93" i="17"/>
  <c r="F93" i="17"/>
  <c r="M93" i="17" s="1"/>
  <c r="J93" i="17"/>
  <c r="L93" i="17"/>
  <c r="G92" i="17"/>
  <c r="F92" i="17"/>
  <c r="M92" i="17" s="1"/>
  <c r="J92" i="17"/>
  <c r="L92" i="17"/>
  <c r="G91" i="17"/>
  <c r="F91" i="17"/>
  <c r="M91" i="17" s="1"/>
  <c r="J91" i="17"/>
  <c r="L91" i="17"/>
  <c r="G90" i="17"/>
  <c r="F90" i="17"/>
  <c r="M90" i="17" s="1"/>
  <c r="J90" i="17"/>
  <c r="L90" i="17"/>
  <c r="G89" i="17"/>
  <c r="F89" i="17"/>
  <c r="M89" i="17" s="1"/>
  <c r="J89" i="17"/>
  <c r="L89" i="17"/>
  <c r="G88" i="17"/>
  <c r="F88" i="17"/>
  <c r="M88" i="17" s="1"/>
  <c r="J88" i="17"/>
  <c r="L88" i="17"/>
  <c r="G87" i="17"/>
  <c r="F87" i="17"/>
  <c r="M87" i="17" s="1"/>
  <c r="J87" i="17"/>
  <c r="L87" i="17"/>
  <c r="G86" i="17"/>
  <c r="F86" i="17"/>
  <c r="M86" i="17"/>
  <c r="J86" i="17"/>
  <c r="L86" i="17"/>
  <c r="G85" i="17"/>
  <c r="F85" i="17"/>
  <c r="M85" i="17" s="1"/>
  <c r="J85" i="17"/>
  <c r="L85" i="17"/>
  <c r="G84" i="17"/>
  <c r="F84" i="17"/>
  <c r="M84" i="17" s="1"/>
  <c r="J84" i="17"/>
  <c r="L84" i="17"/>
  <c r="G83" i="17"/>
  <c r="F83" i="17"/>
  <c r="M83" i="17" s="1"/>
  <c r="J83" i="17"/>
  <c r="L83" i="17"/>
  <c r="G82" i="17"/>
  <c r="F82" i="17"/>
  <c r="M82" i="17" s="1"/>
  <c r="J82" i="17"/>
  <c r="L82" i="17"/>
  <c r="G81" i="17"/>
  <c r="F81" i="17"/>
  <c r="M81" i="17" s="1"/>
  <c r="J81" i="17"/>
  <c r="L81" i="17"/>
  <c r="G80" i="17"/>
  <c r="F80" i="17"/>
  <c r="M80" i="17" s="1"/>
  <c r="J80" i="17"/>
  <c r="L80" i="17"/>
  <c r="G79" i="17"/>
  <c r="F79" i="17"/>
  <c r="M79" i="17" s="1"/>
  <c r="J79" i="17"/>
  <c r="L79" i="17"/>
  <c r="G78" i="17"/>
  <c r="F78" i="17"/>
  <c r="M78" i="17"/>
  <c r="J78" i="17"/>
  <c r="L78" i="17"/>
  <c r="G77" i="17"/>
  <c r="F77" i="17"/>
  <c r="M77" i="17" s="1"/>
  <c r="J77" i="17"/>
  <c r="L77" i="17"/>
  <c r="G76" i="17"/>
  <c r="F76" i="17"/>
  <c r="M76" i="17" s="1"/>
  <c r="J76" i="17"/>
  <c r="L76" i="17"/>
  <c r="G75" i="17"/>
  <c r="F75" i="17"/>
  <c r="M75" i="17" s="1"/>
  <c r="J75" i="17"/>
  <c r="L75" i="17"/>
  <c r="G74" i="17"/>
  <c r="F74" i="17"/>
  <c r="M74" i="17" s="1"/>
  <c r="J74" i="17"/>
  <c r="L74" i="17"/>
  <c r="G73" i="17"/>
  <c r="F73" i="17"/>
  <c r="M73" i="17" s="1"/>
  <c r="J73" i="17"/>
  <c r="L73" i="17"/>
  <c r="G72" i="17"/>
  <c r="F72" i="17"/>
  <c r="M72" i="17" s="1"/>
  <c r="J72" i="17"/>
  <c r="L72" i="17"/>
  <c r="G71" i="17"/>
  <c r="F71" i="17"/>
  <c r="M71" i="17"/>
  <c r="J71" i="17"/>
  <c r="L71" i="17"/>
  <c r="G70" i="17"/>
  <c r="F70" i="17"/>
  <c r="M70" i="17" s="1"/>
  <c r="J70" i="17"/>
  <c r="L70" i="17"/>
  <c r="G69" i="17"/>
  <c r="F69" i="17"/>
  <c r="M69" i="17" s="1"/>
  <c r="J69" i="17"/>
  <c r="L69" i="17"/>
  <c r="G68" i="17"/>
  <c r="F68" i="17"/>
  <c r="M68" i="17" s="1"/>
  <c r="J68" i="17"/>
  <c r="L68" i="17"/>
  <c r="G67" i="17"/>
  <c r="F67" i="17"/>
  <c r="M67" i="17" s="1"/>
  <c r="J67" i="17"/>
  <c r="L67" i="17"/>
  <c r="G66" i="17"/>
  <c r="F66" i="17"/>
  <c r="M66" i="17" s="1"/>
  <c r="J66" i="17"/>
  <c r="L66" i="17"/>
  <c r="G65" i="17"/>
  <c r="F65" i="17"/>
  <c r="M65" i="17" s="1"/>
  <c r="J65" i="17"/>
  <c r="L65" i="17"/>
  <c r="G64" i="17"/>
  <c r="F64" i="17"/>
  <c r="M64" i="17" s="1"/>
  <c r="J64" i="17"/>
  <c r="L64" i="17"/>
  <c r="G63" i="17"/>
  <c r="F63" i="17"/>
  <c r="M63" i="17" s="1"/>
  <c r="J63" i="17"/>
  <c r="L63" i="17"/>
  <c r="G62" i="17"/>
  <c r="F62" i="17"/>
  <c r="M62" i="17" s="1"/>
  <c r="J62" i="17"/>
  <c r="L62" i="17"/>
  <c r="G61" i="17"/>
  <c r="F61" i="17"/>
  <c r="M61" i="17"/>
  <c r="J61" i="17"/>
  <c r="L61" i="17"/>
  <c r="G60" i="17"/>
  <c r="F60" i="17"/>
  <c r="M60" i="17" s="1"/>
  <c r="J60" i="17"/>
  <c r="L60" i="17"/>
  <c r="G59" i="17"/>
  <c r="F59" i="17"/>
  <c r="M59" i="17" s="1"/>
  <c r="J59" i="17"/>
  <c r="L59" i="17"/>
  <c r="G58" i="17"/>
  <c r="F58" i="17"/>
  <c r="M58" i="17" s="1"/>
  <c r="J58" i="17"/>
  <c r="L58" i="17"/>
  <c r="G57" i="17"/>
  <c r="F57" i="17"/>
  <c r="M57" i="17" s="1"/>
  <c r="J57" i="17"/>
  <c r="L57" i="17"/>
  <c r="G56" i="17"/>
  <c r="F56" i="17"/>
  <c r="M56" i="17" s="1"/>
  <c r="J56" i="17"/>
  <c r="L56" i="17"/>
  <c r="G55" i="17"/>
  <c r="F55" i="17"/>
  <c r="M55" i="17"/>
  <c r="J55" i="17"/>
  <c r="L55" i="17"/>
  <c r="G54" i="17"/>
  <c r="F54" i="17"/>
  <c r="M54" i="17" s="1"/>
  <c r="J54" i="17"/>
  <c r="L54" i="17"/>
  <c r="G53" i="17"/>
  <c r="F53" i="17"/>
  <c r="M53" i="17" s="1"/>
  <c r="J53" i="17"/>
  <c r="L53" i="17"/>
  <c r="G52" i="17"/>
  <c r="F52" i="17"/>
  <c r="M52" i="17" s="1"/>
  <c r="J52" i="17"/>
  <c r="L52" i="17"/>
  <c r="G51" i="17"/>
  <c r="F51" i="17"/>
  <c r="M51" i="17" s="1"/>
  <c r="J51" i="17"/>
  <c r="L51" i="17"/>
  <c r="G50" i="17"/>
  <c r="F50" i="17"/>
  <c r="M50" i="17"/>
  <c r="J50" i="17"/>
  <c r="L50" i="17"/>
  <c r="G49" i="17"/>
  <c r="F49" i="17"/>
  <c r="M49" i="17" s="1"/>
  <c r="J49" i="17"/>
  <c r="L49" i="17"/>
  <c r="G48" i="17"/>
  <c r="F48" i="17"/>
  <c r="M48" i="17" s="1"/>
  <c r="J48" i="17"/>
  <c r="L48" i="17"/>
  <c r="G47" i="17"/>
  <c r="F47" i="17"/>
  <c r="M47" i="17" s="1"/>
  <c r="J47" i="17"/>
  <c r="L47" i="17"/>
  <c r="G46" i="17"/>
  <c r="F46" i="17"/>
  <c r="M46" i="17" s="1"/>
  <c r="J46" i="17"/>
  <c r="L46" i="17"/>
  <c r="G45" i="17"/>
  <c r="F45" i="17"/>
  <c r="M45" i="17" s="1"/>
  <c r="J45" i="17"/>
  <c r="L45" i="17"/>
  <c r="G44" i="17"/>
  <c r="F44" i="17"/>
  <c r="M44" i="17" s="1"/>
  <c r="J44" i="17"/>
  <c r="L44" i="17"/>
  <c r="G43" i="17"/>
  <c r="F43" i="17"/>
  <c r="M43" i="17" s="1"/>
  <c r="J43" i="17"/>
  <c r="L43" i="17"/>
  <c r="G42" i="17"/>
  <c r="F42" i="17"/>
  <c r="M42" i="17" s="1"/>
  <c r="J42" i="17"/>
  <c r="L42" i="17"/>
  <c r="G41" i="17"/>
  <c r="F41" i="17"/>
  <c r="M41" i="17" s="1"/>
  <c r="J41" i="17"/>
  <c r="L41" i="17"/>
  <c r="G40" i="17"/>
  <c r="F40" i="17"/>
  <c r="M40" i="17" s="1"/>
  <c r="J40" i="17"/>
  <c r="L40" i="17"/>
  <c r="G39" i="17"/>
  <c r="F39" i="17"/>
  <c r="M39" i="17"/>
  <c r="J39" i="17"/>
  <c r="L39" i="17"/>
  <c r="G38" i="17"/>
  <c r="F38" i="17"/>
  <c r="M38" i="17" s="1"/>
  <c r="J38" i="17"/>
  <c r="L38" i="17"/>
  <c r="G37" i="17"/>
  <c r="F37" i="17"/>
  <c r="M37" i="17" s="1"/>
  <c r="J37" i="17"/>
  <c r="L37" i="17"/>
  <c r="G36" i="17"/>
  <c r="F36" i="17"/>
  <c r="M36" i="17" s="1"/>
  <c r="J36" i="17"/>
  <c r="L36" i="17"/>
  <c r="G35" i="17"/>
  <c r="F35" i="17"/>
  <c r="M35" i="17" s="1"/>
  <c r="J35" i="17"/>
  <c r="L35" i="17"/>
  <c r="G34" i="17"/>
  <c r="F34" i="17"/>
  <c r="M34" i="17"/>
  <c r="J34" i="17"/>
  <c r="L34" i="17"/>
  <c r="G33" i="17"/>
  <c r="F33" i="17"/>
  <c r="M33" i="17" s="1"/>
  <c r="J33" i="17"/>
  <c r="L33" i="17"/>
  <c r="G32" i="17"/>
  <c r="F32" i="17"/>
  <c r="M32" i="17" s="1"/>
  <c r="J32" i="17"/>
  <c r="L32" i="17"/>
  <c r="G31" i="17"/>
  <c r="F31" i="17"/>
  <c r="M31" i="17" s="1"/>
  <c r="J31" i="17"/>
  <c r="L31" i="17"/>
  <c r="G30" i="17"/>
  <c r="F30" i="17"/>
  <c r="M30" i="17" s="1"/>
  <c r="J30" i="17"/>
  <c r="L30" i="17"/>
  <c r="G29" i="17"/>
  <c r="F29" i="17"/>
  <c r="M29" i="17"/>
  <c r="J29" i="17"/>
  <c r="L29" i="17"/>
  <c r="G28" i="17"/>
  <c r="F28" i="17"/>
  <c r="M28" i="17" s="1"/>
  <c r="J28" i="17"/>
  <c r="L28" i="17"/>
  <c r="G27" i="17"/>
  <c r="F27" i="17"/>
  <c r="M27" i="17" s="1"/>
  <c r="J27" i="17"/>
  <c r="L27" i="17"/>
  <c r="G26" i="17"/>
  <c r="F26" i="17"/>
  <c r="M26" i="17" s="1"/>
  <c r="J26" i="17"/>
  <c r="L26" i="17"/>
  <c r="G25" i="17"/>
  <c r="F25" i="17"/>
  <c r="M25" i="17" s="1"/>
  <c r="J25" i="17"/>
  <c r="L25" i="17"/>
  <c r="G24" i="17"/>
  <c r="F24" i="17"/>
  <c r="M24" i="17" s="1"/>
  <c r="J24" i="17"/>
  <c r="L24" i="17"/>
  <c r="G23" i="17"/>
  <c r="F23" i="17"/>
  <c r="M23" i="17" s="1"/>
  <c r="J23" i="17"/>
  <c r="L23" i="17"/>
  <c r="G22" i="17"/>
  <c r="F22" i="17"/>
  <c r="M22" i="17" s="1"/>
  <c r="J22" i="17"/>
  <c r="L22" i="17"/>
  <c r="G21" i="17"/>
  <c r="F21" i="17"/>
  <c r="M21" i="17" s="1"/>
  <c r="J21" i="17"/>
  <c r="L21" i="17"/>
  <c r="G20" i="17"/>
  <c r="B25" i="16" s="1"/>
  <c r="F20" i="17"/>
  <c r="M20" i="17" s="1"/>
  <c r="J20" i="17"/>
  <c r="L20" i="17"/>
  <c r="G19" i="17"/>
  <c r="F19" i="17"/>
  <c r="M19" i="17" s="1"/>
  <c r="J19" i="17"/>
  <c r="L19" i="17"/>
  <c r="G18" i="17"/>
  <c r="F18" i="17"/>
  <c r="M18" i="17" s="1"/>
  <c r="J18" i="17"/>
  <c r="L18" i="17"/>
  <c r="N18" i="17"/>
  <c r="G17" i="17"/>
  <c r="F17" i="17"/>
  <c r="M17" i="17" s="1"/>
  <c r="J17" i="17"/>
  <c r="L17" i="17"/>
  <c r="N17" i="17"/>
  <c r="G16" i="17"/>
  <c r="F16" i="17"/>
  <c r="M16" i="17" s="1"/>
  <c r="J16" i="17"/>
  <c r="L16" i="17"/>
  <c r="N16" i="17"/>
  <c r="G15" i="17"/>
  <c r="F15" i="17"/>
  <c r="M15" i="17" s="1"/>
  <c r="J15" i="17"/>
  <c r="L15" i="17"/>
  <c r="N15" i="17"/>
  <c r="J13" i="18"/>
  <c r="G14" i="17"/>
  <c r="F14" i="17"/>
  <c r="M14" i="17" s="1"/>
  <c r="J14" i="17"/>
  <c r="L14" i="17"/>
  <c r="N14" i="17"/>
  <c r="G13" i="17"/>
  <c r="F13" i="17"/>
  <c r="M13" i="17" s="1"/>
  <c r="J13" i="17"/>
  <c r="L13" i="17"/>
  <c r="N13" i="17"/>
  <c r="G12" i="17"/>
  <c r="F12" i="17"/>
  <c r="M12" i="17" s="1"/>
  <c r="J12" i="17"/>
  <c r="L12" i="17"/>
  <c r="N12" i="17"/>
  <c r="G11" i="17"/>
  <c r="F11" i="17"/>
  <c r="M11" i="17"/>
  <c r="J11" i="17"/>
  <c r="L11" i="17"/>
  <c r="N11" i="17"/>
  <c r="G10" i="17"/>
  <c r="F10" i="17"/>
  <c r="M10" i="17" s="1"/>
  <c r="J10" i="17"/>
  <c r="L10" i="17"/>
  <c r="N10" i="17"/>
  <c r="N8" i="18"/>
  <c r="N9" i="18"/>
  <c r="G9" i="17"/>
  <c r="F9" i="17"/>
  <c r="M9" i="17" s="1"/>
  <c r="J9" i="17"/>
  <c r="L9" i="17"/>
  <c r="N9" i="17"/>
  <c r="G8" i="17"/>
  <c r="E8" i="17"/>
  <c r="F8" i="17"/>
  <c r="M8" i="17" s="1"/>
  <c r="J8" i="17"/>
  <c r="L8" i="17"/>
  <c r="N8" i="17"/>
  <c r="H138" i="17"/>
  <c r="H137" i="17"/>
  <c r="H136" i="17"/>
  <c r="H135" i="17"/>
  <c r="H134" i="17"/>
  <c r="H133" i="17"/>
  <c r="H132" i="17"/>
  <c r="H131" i="17"/>
  <c r="H130" i="17"/>
  <c r="H129" i="17"/>
  <c r="H128" i="17"/>
  <c r="H127" i="17"/>
  <c r="H126" i="17"/>
  <c r="H125" i="17"/>
  <c r="H124" i="17"/>
  <c r="H123" i="17"/>
  <c r="H122" i="17"/>
  <c r="H121" i="17"/>
  <c r="H120" i="17"/>
  <c r="H119" i="17"/>
  <c r="H118" i="17"/>
  <c r="H117" i="17"/>
  <c r="H116" i="17"/>
  <c r="H115" i="17"/>
  <c r="H114" i="17"/>
  <c r="H113" i="17"/>
  <c r="H112" i="17"/>
  <c r="H111" i="17"/>
  <c r="H110" i="17"/>
  <c r="H109" i="17"/>
  <c r="H108" i="17"/>
  <c r="H107" i="17"/>
  <c r="H106" i="17"/>
  <c r="H105" i="17"/>
  <c r="H104" i="17"/>
  <c r="H103" i="17"/>
  <c r="H102" i="17"/>
  <c r="H101" i="17"/>
  <c r="H100" i="17"/>
  <c r="H99" i="17"/>
  <c r="H98" i="17"/>
  <c r="H97" i="17"/>
  <c r="H96" i="17"/>
  <c r="H95" i="17"/>
  <c r="H94" i="17"/>
  <c r="H93" i="17"/>
  <c r="H92" i="17"/>
  <c r="H91" i="17"/>
  <c r="H90" i="17"/>
  <c r="H89" i="17"/>
  <c r="H88" i="17"/>
  <c r="H87" i="17"/>
  <c r="H86" i="17"/>
  <c r="H85" i="17"/>
  <c r="H84" i="17"/>
  <c r="H83" i="17"/>
  <c r="H82" i="17"/>
  <c r="H81" i="17"/>
  <c r="H80" i="17"/>
  <c r="H79" i="17"/>
  <c r="H78" i="17"/>
  <c r="H77" i="17"/>
  <c r="H76" i="17"/>
  <c r="H75" i="17"/>
  <c r="H74" i="17"/>
  <c r="H73" i="17"/>
  <c r="H72" i="17"/>
  <c r="H71" i="17"/>
  <c r="H70" i="17"/>
  <c r="H69" i="17"/>
  <c r="H68" i="17"/>
  <c r="H67" i="17"/>
  <c r="H66" i="17"/>
  <c r="H65" i="17"/>
  <c r="H64" i="17"/>
  <c r="H63" i="17"/>
  <c r="H62" i="17"/>
  <c r="H61" i="17"/>
  <c r="H60" i="17"/>
  <c r="H59" i="17"/>
  <c r="H58" i="17"/>
  <c r="H57" i="17"/>
  <c r="H56" i="17"/>
  <c r="H55" i="17"/>
  <c r="H54" i="17"/>
  <c r="H53" i="17"/>
  <c r="H52" i="17"/>
  <c r="H51" i="17"/>
  <c r="H50" i="17"/>
  <c r="H49" i="17"/>
  <c r="H48" i="17"/>
  <c r="H47" i="17"/>
  <c r="H46" i="17"/>
  <c r="H45" i="17"/>
  <c r="H44" i="17"/>
  <c r="H43" i="17"/>
  <c r="H42" i="17"/>
  <c r="H41" i="17"/>
  <c r="H40" i="17"/>
  <c r="H39" i="17"/>
  <c r="H38" i="17"/>
  <c r="H37" i="17"/>
  <c r="H36" i="17"/>
  <c r="H35" i="17"/>
  <c r="H34" i="17"/>
  <c r="H33" i="17"/>
  <c r="H32" i="17"/>
  <c r="H31" i="17"/>
  <c r="H30" i="17"/>
  <c r="H29" i="17"/>
  <c r="H28" i="17"/>
  <c r="H27" i="17"/>
  <c r="H26" i="17"/>
  <c r="H25" i="17"/>
  <c r="H24" i="17"/>
  <c r="H23" i="17"/>
  <c r="H22" i="17"/>
  <c r="H21" i="17"/>
  <c r="H20" i="17"/>
  <c r="H19" i="17"/>
  <c r="H18" i="17"/>
  <c r="H17" i="17"/>
  <c r="H16" i="17"/>
  <c r="H15" i="17"/>
  <c r="H14" i="17"/>
  <c r="H13" i="17"/>
  <c r="H12" i="17"/>
  <c r="H11" i="17"/>
  <c r="H10" i="17"/>
  <c r="H9" i="17"/>
  <c r="H8" i="17"/>
  <c r="E11" i="19"/>
  <c r="D8" i="17" l="1"/>
  <c r="C8" i="17" s="1"/>
  <c r="E12" i="19"/>
  <c r="E13" i="19" s="1"/>
  <c r="E14" i="19" s="1"/>
  <c r="F23" i="9"/>
  <c r="E64" i="9"/>
  <c r="I367" i="17"/>
  <c r="I366" i="17"/>
  <c r="I365" i="17"/>
  <c r="I364" i="17"/>
  <c r="I363" i="17"/>
  <c r="I362" i="17"/>
  <c r="I361" i="17"/>
  <c r="I360" i="17"/>
  <c r="I359" i="17"/>
  <c r="I358" i="17"/>
  <c r="I357" i="17"/>
  <c r="I356" i="17"/>
  <c r="I355" i="17"/>
  <c r="I354" i="17"/>
  <c r="I353" i="17"/>
  <c r="I352" i="17"/>
  <c r="I351" i="17"/>
  <c r="I350" i="17"/>
  <c r="I349" i="17"/>
  <c r="I348" i="17"/>
  <c r="I347" i="17"/>
  <c r="I346" i="17"/>
  <c r="I345" i="17"/>
  <c r="I344" i="17"/>
  <c r="I343" i="17"/>
  <c r="I342" i="17"/>
  <c r="I341" i="17"/>
  <c r="I340" i="17"/>
  <c r="I339" i="17"/>
  <c r="I338" i="17"/>
  <c r="I337" i="17"/>
  <c r="I336" i="17"/>
  <c r="I335" i="17"/>
  <c r="I334" i="17"/>
  <c r="I333" i="17"/>
  <c r="I332" i="17"/>
  <c r="I331" i="17"/>
  <c r="I330" i="17"/>
  <c r="I329" i="17"/>
  <c r="I328" i="17"/>
  <c r="I327" i="17"/>
  <c r="I326" i="17"/>
  <c r="I325" i="17"/>
  <c r="I324" i="17"/>
  <c r="I323" i="17"/>
  <c r="I322" i="17"/>
  <c r="I321" i="17"/>
  <c r="I320" i="17"/>
  <c r="I319" i="17"/>
  <c r="I318" i="17"/>
  <c r="I317" i="17"/>
  <c r="I316" i="17"/>
  <c r="I315" i="17"/>
  <c r="I314" i="17"/>
  <c r="I313" i="17"/>
  <c r="I312" i="17"/>
  <c r="I311" i="17"/>
  <c r="I310" i="17"/>
  <c r="I309" i="17"/>
  <c r="I308" i="17"/>
  <c r="I307" i="17"/>
  <c r="I306" i="17"/>
  <c r="I305" i="17"/>
  <c r="I304" i="17"/>
  <c r="I303" i="17"/>
  <c r="I302" i="17"/>
  <c r="I301" i="17"/>
  <c r="I300" i="17"/>
  <c r="I299" i="17"/>
  <c r="I298" i="17"/>
  <c r="I297" i="17"/>
  <c r="I296" i="17"/>
  <c r="I295" i="17"/>
  <c r="I294" i="17"/>
  <c r="I293" i="17"/>
  <c r="I292" i="17"/>
  <c r="I291" i="17"/>
  <c r="I290" i="17"/>
  <c r="I289" i="17"/>
  <c r="I288" i="17"/>
  <c r="I287" i="17"/>
  <c r="I286" i="17"/>
  <c r="I285" i="17"/>
  <c r="I284" i="17"/>
  <c r="I283" i="17"/>
  <c r="I282" i="17"/>
  <c r="I281" i="17"/>
  <c r="I280" i="17"/>
  <c r="I279" i="17"/>
  <c r="I278" i="17"/>
  <c r="I277" i="17"/>
  <c r="I276" i="17"/>
  <c r="I275" i="17"/>
  <c r="I274" i="17"/>
  <c r="I273" i="17"/>
  <c r="I272" i="17"/>
  <c r="I271" i="17"/>
  <c r="I270" i="17"/>
  <c r="I269" i="17"/>
  <c r="I268" i="17"/>
  <c r="I267" i="17"/>
  <c r="I266" i="17"/>
  <c r="I265" i="17"/>
  <c r="I264" i="17"/>
  <c r="I263" i="17"/>
  <c r="I262" i="17"/>
  <c r="I261" i="17"/>
  <c r="I260" i="17"/>
  <c r="I259" i="17"/>
  <c r="I258" i="17"/>
  <c r="I257" i="17"/>
  <c r="I256" i="17"/>
  <c r="I255" i="17"/>
  <c r="I254" i="17"/>
  <c r="I253" i="17"/>
  <c r="I252" i="17"/>
  <c r="I251" i="17"/>
  <c r="I250" i="17"/>
  <c r="I249" i="17"/>
  <c r="I248" i="17"/>
  <c r="I247" i="17"/>
  <c r="I246" i="17"/>
  <c r="I245" i="17"/>
  <c r="I244" i="17"/>
  <c r="I243" i="17"/>
  <c r="I242" i="17"/>
  <c r="I241" i="17"/>
  <c r="I240" i="17"/>
  <c r="I239" i="17"/>
  <c r="I238" i="17"/>
  <c r="I237" i="17"/>
  <c r="I236" i="17"/>
  <c r="I235" i="17"/>
  <c r="I234" i="17"/>
  <c r="I233" i="17"/>
  <c r="I232" i="17"/>
  <c r="I231" i="17"/>
  <c r="I230" i="17"/>
  <c r="I229" i="17"/>
  <c r="I228" i="17"/>
  <c r="I227" i="17"/>
  <c r="I226" i="17"/>
  <c r="I225" i="17"/>
  <c r="I224" i="17"/>
  <c r="I223" i="17"/>
  <c r="I222" i="17"/>
  <c r="I221" i="17"/>
  <c r="I220" i="17"/>
  <c r="I219" i="17"/>
  <c r="I218" i="17"/>
  <c r="I217" i="17"/>
  <c r="I216" i="17"/>
  <c r="I215" i="17"/>
  <c r="I214" i="17"/>
  <c r="I213" i="17"/>
  <c r="I212" i="17"/>
  <c r="I211" i="17"/>
  <c r="I210" i="17"/>
  <c r="I209" i="17"/>
  <c r="I208" i="17"/>
  <c r="I207" i="17"/>
  <c r="I206" i="17"/>
  <c r="I205" i="17"/>
  <c r="I204" i="17"/>
  <c r="I203" i="17"/>
  <c r="I202" i="17"/>
  <c r="I201" i="17"/>
  <c r="I200" i="17"/>
  <c r="I199" i="17"/>
  <c r="I198" i="17"/>
  <c r="I197" i="17"/>
  <c r="I196" i="17"/>
  <c r="I195" i="17"/>
  <c r="I194" i="17"/>
  <c r="I193" i="17"/>
  <c r="I192" i="17"/>
  <c r="I191" i="17"/>
  <c r="I190" i="17"/>
  <c r="I189" i="17"/>
  <c r="I188" i="17"/>
  <c r="I187" i="17"/>
  <c r="I186" i="17"/>
  <c r="I185" i="17"/>
  <c r="I184" i="17"/>
  <c r="I183" i="17"/>
  <c r="I182" i="17"/>
  <c r="I181" i="17"/>
  <c r="I180" i="17"/>
  <c r="I179" i="17"/>
  <c r="I178" i="17"/>
  <c r="I177" i="17"/>
  <c r="I176" i="17"/>
  <c r="I175" i="17"/>
  <c r="I174" i="17"/>
  <c r="I173" i="17"/>
  <c r="I172" i="17"/>
  <c r="I171" i="17"/>
  <c r="I170" i="17"/>
  <c r="I169" i="17"/>
  <c r="I168" i="17"/>
  <c r="I167" i="17"/>
  <c r="I166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8" i="17"/>
  <c r="O8" i="17" s="1"/>
  <c r="K8" i="17"/>
  <c r="W22" i="17"/>
  <c r="W32" i="17"/>
  <c r="W16" i="17"/>
  <c r="W15" i="17"/>
  <c r="W19" i="17"/>
  <c r="W27" i="17"/>
  <c r="W24" i="17"/>
  <c r="C19" i="18"/>
  <c r="C22" i="18"/>
  <c r="C27" i="18"/>
  <c r="C32" i="18"/>
  <c r="C36" i="18"/>
  <c r="W33" i="17"/>
  <c r="W35" i="17"/>
  <c r="W28" i="17"/>
  <c r="W18" i="17"/>
  <c r="W8" i="17"/>
  <c r="W17" i="17"/>
  <c r="W13" i="17"/>
  <c r="W11" i="17"/>
  <c r="C25" i="18"/>
  <c r="C24" i="18"/>
  <c r="C28" i="18"/>
  <c r="C35" i="18"/>
  <c r="C37" i="18"/>
  <c r="W25" i="17"/>
  <c r="W23" i="17"/>
  <c r="W37" i="17"/>
  <c r="W30" i="17"/>
  <c r="W34" i="17"/>
  <c r="W10" i="17"/>
  <c r="E53" i="9"/>
  <c r="W26" i="17"/>
  <c r="W12" i="17"/>
  <c r="W36" i="17"/>
  <c r="W14" i="17"/>
  <c r="W20" i="17"/>
  <c r="W21" i="17"/>
  <c r="W9" i="17"/>
  <c r="C23" i="18"/>
  <c r="C21" i="18"/>
  <c r="C26" i="18"/>
  <c r="C30" i="18"/>
  <c r="C33" i="18"/>
  <c r="W29" i="17"/>
  <c r="C20" i="18"/>
  <c r="C29" i="18"/>
  <c r="C31" i="18"/>
  <c r="W31" i="17"/>
  <c r="C18" i="18"/>
  <c r="C34" i="18"/>
  <c r="C17" i="18"/>
  <c r="C16" i="18"/>
  <c r="C15" i="18"/>
  <c r="C14" i="18"/>
  <c r="C13" i="18"/>
  <c r="C12" i="18"/>
  <c r="C11" i="18"/>
  <c r="C10" i="18"/>
  <c r="C9" i="18"/>
  <c r="C8" i="18"/>
  <c r="K9" i="17"/>
  <c r="K10" i="17"/>
  <c r="K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K25" i="17"/>
  <c r="K26" i="17"/>
  <c r="K27" i="17"/>
  <c r="K28" i="17"/>
  <c r="K29" i="17"/>
  <c r="K30" i="17"/>
  <c r="K31" i="17"/>
  <c r="K32" i="17"/>
  <c r="K33" i="17"/>
  <c r="K34" i="17"/>
  <c r="K35" i="17"/>
  <c r="K36" i="17"/>
  <c r="K37" i="17"/>
  <c r="K38" i="17"/>
  <c r="K39" i="17"/>
  <c r="K40" i="17"/>
  <c r="K41" i="17"/>
  <c r="K42" i="17"/>
  <c r="K43" i="17"/>
  <c r="K44" i="17"/>
  <c r="K45" i="17"/>
  <c r="K46" i="17"/>
  <c r="K47" i="17"/>
  <c r="K48" i="17"/>
  <c r="K49" i="17"/>
  <c r="K50" i="17"/>
  <c r="K51" i="17"/>
  <c r="K52" i="17"/>
  <c r="K53" i="17"/>
  <c r="K54" i="17"/>
  <c r="K55" i="17"/>
  <c r="K56" i="17"/>
  <c r="K57" i="17"/>
  <c r="K58" i="17"/>
  <c r="K59" i="17"/>
  <c r="K60" i="17"/>
  <c r="K61" i="17"/>
  <c r="K62" i="17"/>
  <c r="K63" i="17"/>
  <c r="K64" i="17"/>
  <c r="K65" i="17"/>
  <c r="K66" i="17"/>
  <c r="K67" i="17"/>
  <c r="K68" i="17"/>
  <c r="K69" i="17"/>
  <c r="K70" i="17"/>
  <c r="K71" i="17"/>
  <c r="K72" i="17"/>
  <c r="K73" i="17"/>
  <c r="K74" i="17"/>
  <c r="K75" i="17"/>
  <c r="K76" i="17"/>
  <c r="K77" i="17"/>
  <c r="K78" i="17"/>
  <c r="K79" i="17"/>
  <c r="K80" i="17"/>
  <c r="K81" i="17"/>
  <c r="K82" i="17"/>
  <c r="K83" i="17"/>
  <c r="K84" i="17"/>
  <c r="K85" i="17"/>
  <c r="K86" i="17"/>
  <c r="K87" i="17"/>
  <c r="K88" i="17"/>
  <c r="K89" i="17"/>
  <c r="K90" i="17"/>
  <c r="K91" i="17"/>
  <c r="K92" i="17"/>
  <c r="K93" i="17"/>
  <c r="K94" i="17"/>
  <c r="K95" i="17"/>
  <c r="K96" i="17"/>
  <c r="K97" i="17"/>
  <c r="K98" i="17"/>
  <c r="K99" i="17"/>
  <c r="K100" i="17"/>
  <c r="K101" i="17"/>
  <c r="K102" i="17"/>
  <c r="K103" i="17"/>
  <c r="K104" i="17"/>
  <c r="K105" i="17"/>
  <c r="K106" i="17"/>
  <c r="K107" i="17"/>
  <c r="K108" i="17"/>
  <c r="K109" i="17"/>
  <c r="K110" i="17"/>
  <c r="K111" i="17"/>
  <c r="K112" i="17"/>
  <c r="K113" i="17"/>
  <c r="K114" i="17"/>
  <c r="K115" i="17"/>
  <c r="K116" i="17"/>
  <c r="K117" i="17"/>
  <c r="K118" i="17"/>
  <c r="K119" i="17"/>
  <c r="K120" i="17"/>
  <c r="K121" i="17"/>
  <c r="K122" i="17"/>
  <c r="K123" i="17"/>
  <c r="K124" i="17"/>
  <c r="K125" i="17"/>
  <c r="K126" i="17"/>
  <c r="K127" i="17"/>
  <c r="K128" i="17"/>
  <c r="K129" i="17"/>
  <c r="K130" i="17"/>
  <c r="K131" i="17"/>
  <c r="K132" i="17"/>
  <c r="K133" i="17"/>
  <c r="K134" i="17"/>
  <c r="K135" i="17"/>
  <c r="K136" i="17"/>
  <c r="K137" i="17"/>
  <c r="K138" i="17"/>
  <c r="AA20" i="17"/>
  <c r="AA31" i="17"/>
  <c r="AA37" i="17"/>
  <c r="AA10" i="17"/>
  <c r="AA9" i="17"/>
  <c r="AA29" i="17"/>
  <c r="AA16" i="17"/>
  <c r="AA17" i="17"/>
  <c r="G9" i="18"/>
  <c r="AA11" i="17"/>
  <c r="AA13" i="17"/>
  <c r="AA33" i="17"/>
  <c r="AA12" i="17"/>
  <c r="AA18" i="17"/>
  <c r="AA23" i="17"/>
  <c r="AA14" i="17"/>
  <c r="AA21" i="17"/>
  <c r="AA30" i="17"/>
  <c r="AA28" i="17"/>
  <c r="AA24" i="17"/>
  <c r="AA15" i="17"/>
  <c r="G8" i="18"/>
  <c r="AA32" i="17"/>
  <c r="AA19" i="17"/>
  <c r="AA34" i="17"/>
  <c r="AA22" i="17"/>
  <c r="AA8" i="17"/>
  <c r="AA26" i="17"/>
  <c r="AA27" i="17"/>
  <c r="AA25" i="17"/>
  <c r="AA36" i="17"/>
  <c r="AA35" i="17"/>
  <c r="G13" i="18"/>
  <c r="G10" i="18"/>
  <c r="G14" i="18"/>
  <c r="G11" i="18"/>
  <c r="G12" i="18"/>
  <c r="G16" i="18"/>
  <c r="G15" i="18"/>
  <c r="G17" i="18"/>
  <c r="G18" i="18"/>
  <c r="G21" i="18"/>
  <c r="G20" i="18"/>
  <c r="G19" i="18"/>
  <c r="G23" i="18"/>
  <c r="G22" i="18"/>
  <c r="G25" i="18"/>
  <c r="G24" i="18"/>
  <c r="G26" i="18"/>
  <c r="G29" i="18"/>
  <c r="G28" i="18"/>
  <c r="G30" i="18"/>
  <c r="G27" i="18"/>
  <c r="G31" i="18"/>
  <c r="G33" i="18"/>
  <c r="G32" i="18"/>
  <c r="G36" i="18"/>
  <c r="G35" i="18"/>
  <c r="G34" i="18"/>
  <c r="G37" i="18"/>
  <c r="E8" i="18"/>
  <c r="Y28" i="17"/>
  <c r="Y20" i="17"/>
  <c r="Y25" i="17"/>
  <c r="Y32" i="17"/>
  <c r="Y26" i="17"/>
  <c r="Y16" i="17"/>
  <c r="Y29" i="17"/>
  <c r="Y27" i="17"/>
  <c r="Y8" i="17"/>
  <c r="Y21" i="17"/>
  <c r="Y15" i="17"/>
  <c r="Y14" i="17"/>
  <c r="E9" i="18"/>
  <c r="Y31" i="17"/>
  <c r="Y30" i="17"/>
  <c r="Y19" i="17"/>
  <c r="Y22" i="17"/>
  <c r="Y18" i="17"/>
  <c r="Y12" i="17"/>
  <c r="Y36" i="17"/>
  <c r="Y24" i="17"/>
  <c r="Y10" i="17"/>
  <c r="Y11" i="17"/>
  <c r="Y9" i="17"/>
  <c r="Y17" i="17"/>
  <c r="Y13" i="17"/>
  <c r="Y34" i="17"/>
  <c r="Y23" i="17"/>
  <c r="Y37" i="17"/>
  <c r="Y33" i="17"/>
  <c r="E11" i="18"/>
  <c r="Y35" i="17"/>
  <c r="E13" i="18"/>
  <c r="E10" i="18"/>
  <c r="E12" i="18"/>
  <c r="E14" i="18"/>
  <c r="E16" i="18"/>
  <c r="E15" i="18"/>
  <c r="E17" i="18"/>
  <c r="E19" i="18"/>
  <c r="E20" i="18"/>
  <c r="E18" i="18"/>
  <c r="E22" i="18"/>
  <c r="E23" i="18"/>
  <c r="E21" i="18"/>
  <c r="E24" i="18"/>
  <c r="E25" i="18"/>
  <c r="E31" i="18"/>
  <c r="E27" i="18"/>
  <c r="E26" i="18"/>
  <c r="E30" i="18"/>
  <c r="E29" i="18"/>
  <c r="E28" i="18"/>
  <c r="E32" i="18"/>
  <c r="E34" i="18"/>
  <c r="E33" i="18"/>
  <c r="E37" i="18"/>
  <c r="E35" i="18"/>
  <c r="E36" i="18"/>
  <c r="AB12" i="17"/>
  <c r="AB21" i="17"/>
  <c r="AB22" i="17"/>
  <c r="AB37" i="17"/>
  <c r="AB24" i="17"/>
  <c r="AB14" i="17"/>
  <c r="AB26" i="17"/>
  <c r="AB19" i="17"/>
  <c r="AB9" i="17"/>
  <c r="AB34" i="17"/>
  <c r="AB29" i="17"/>
  <c r="AB27" i="17"/>
  <c r="AB33" i="17"/>
  <c r="AB18" i="17"/>
  <c r="AB8" i="17"/>
  <c r="AB10" i="17"/>
  <c r="AB20" i="17"/>
  <c r="AB15" i="17"/>
  <c r="AB32" i="17"/>
  <c r="AB31" i="17"/>
  <c r="AB17" i="17"/>
  <c r="AB30" i="17"/>
  <c r="AB25" i="17"/>
  <c r="AB13" i="17"/>
  <c r="AB28" i="17"/>
  <c r="AB35" i="17"/>
  <c r="AB16" i="17"/>
  <c r="AB36" i="17"/>
  <c r="AB11" i="17"/>
  <c r="AB23" i="17"/>
  <c r="U29" i="17"/>
  <c r="U18" i="17"/>
  <c r="U32" i="17"/>
  <c r="U8" i="17"/>
  <c r="U30" i="17"/>
  <c r="U12" i="17"/>
  <c r="U17" i="17"/>
  <c r="U34" i="17"/>
  <c r="U22" i="17"/>
  <c r="U13" i="17"/>
  <c r="U25" i="17"/>
  <c r="U27" i="17"/>
  <c r="U19" i="17"/>
  <c r="U26" i="17"/>
  <c r="U37" i="17"/>
  <c r="U9" i="17"/>
  <c r="U35" i="17"/>
  <c r="U24" i="17"/>
  <c r="U20" i="17"/>
  <c r="U15" i="17"/>
  <c r="U21" i="17"/>
  <c r="U11" i="17"/>
  <c r="U14" i="17"/>
  <c r="U33" i="17"/>
  <c r="U23" i="17"/>
  <c r="U28" i="17"/>
  <c r="U16" i="17"/>
  <c r="U10" i="17"/>
  <c r="U36" i="17"/>
  <c r="U31" i="17"/>
  <c r="E9" i="17"/>
  <c r="D9" i="17" s="1"/>
  <c r="C9" i="17" s="1"/>
  <c r="V35" i="17"/>
  <c r="V29" i="17"/>
  <c r="V25" i="17"/>
  <c r="V9" i="17"/>
  <c r="V23" i="17"/>
  <c r="V12" i="17"/>
  <c r="V27" i="17"/>
  <c r="V11" i="17"/>
  <c r="V30" i="17"/>
  <c r="V32" i="17"/>
  <c r="V8" i="17"/>
  <c r="V18" i="17"/>
  <c r="V31" i="17"/>
  <c r="V10" i="17"/>
  <c r="V26" i="17"/>
  <c r="V22" i="17"/>
  <c r="V34" i="17"/>
  <c r="V19" i="17"/>
  <c r="V24" i="17"/>
  <c r="V13" i="17"/>
  <c r="V16" i="17"/>
  <c r="V36" i="17"/>
  <c r="V20" i="17"/>
  <c r="V15" i="17"/>
  <c r="V37" i="17"/>
  <c r="V33" i="17"/>
  <c r="V17" i="17"/>
  <c r="V14" i="17"/>
  <c r="V21" i="17"/>
  <c r="V28" i="17"/>
  <c r="S8" i="18"/>
  <c r="N10" i="18"/>
  <c r="N11" i="18"/>
  <c r="N13" i="18" s="1"/>
  <c r="N12" i="18"/>
  <c r="S9" i="18"/>
  <c r="E29" i="16"/>
  <c r="F29" i="16" s="1"/>
  <c r="E28" i="16"/>
  <c r="S10" i="18"/>
  <c r="S11" i="18"/>
  <c r="S12" i="18"/>
  <c r="J14" i="18"/>
  <c r="J15" i="18" s="1"/>
  <c r="J16" i="18"/>
  <c r="S13" i="18"/>
  <c r="S14" i="18"/>
  <c r="S15" i="18"/>
  <c r="S16" i="18"/>
  <c r="S17" i="18"/>
  <c r="S18" i="18"/>
  <c r="S19" i="18"/>
  <c r="S20" i="18"/>
  <c r="S21" i="18"/>
  <c r="S22" i="18"/>
  <c r="S23" i="18"/>
  <c r="S24" i="18"/>
  <c r="S25" i="18"/>
  <c r="S26" i="18"/>
  <c r="S27" i="18"/>
  <c r="S28" i="18"/>
  <c r="S29" i="18"/>
  <c r="S30" i="18"/>
  <c r="S31" i="18"/>
  <c r="S32" i="18"/>
  <c r="S33" i="18"/>
  <c r="S34" i="18"/>
  <c r="S35" i="18"/>
  <c r="S36" i="18"/>
  <c r="S37" i="18"/>
  <c r="W35" i="18" l="1"/>
  <c r="V35" i="18"/>
  <c r="W30" i="18"/>
  <c r="V30" i="18"/>
  <c r="W28" i="18"/>
  <c r="V28" i="18"/>
  <c r="W33" i="18"/>
  <c r="V33" i="18"/>
  <c r="W31" i="18"/>
  <c r="V31" i="18"/>
  <c r="W36" i="18"/>
  <c r="V36" i="18"/>
  <c r="W37" i="18"/>
  <c r="X37" i="18" s="1"/>
  <c r="V37" i="18"/>
  <c r="W34" i="18"/>
  <c r="V34" i="18"/>
  <c r="W27" i="18"/>
  <c r="V27" i="18"/>
  <c r="W32" i="18"/>
  <c r="V32" i="18"/>
  <c r="W29" i="18"/>
  <c r="V29" i="18"/>
  <c r="W26" i="18"/>
  <c r="V26" i="18"/>
  <c r="W23" i="18"/>
  <c r="X23" i="18" s="1"/>
  <c r="V23" i="18"/>
  <c r="W20" i="18"/>
  <c r="V20" i="18"/>
  <c r="W17" i="18"/>
  <c r="V17" i="18"/>
  <c r="W14" i="18"/>
  <c r="V14" i="18"/>
  <c r="J17" i="18"/>
  <c r="W9" i="18"/>
  <c r="V9" i="18"/>
  <c r="W24" i="18"/>
  <c r="V24" i="18"/>
  <c r="W21" i="18"/>
  <c r="V21" i="18"/>
  <c r="W18" i="18"/>
  <c r="V18" i="18"/>
  <c r="W11" i="18"/>
  <c r="V11" i="18"/>
  <c r="W25" i="18"/>
  <c r="V25" i="18"/>
  <c r="W22" i="18"/>
  <c r="V22" i="18"/>
  <c r="W19" i="18"/>
  <c r="V19" i="18"/>
  <c r="F28" i="16"/>
  <c r="E32" i="16"/>
  <c r="N14" i="18"/>
  <c r="W15" i="18"/>
  <c r="V15" i="18"/>
  <c r="W12" i="18"/>
  <c r="V12" i="18"/>
  <c r="W8" i="18"/>
  <c r="V8" i="18"/>
  <c r="W16" i="18"/>
  <c r="V16" i="18"/>
  <c r="W13" i="18"/>
  <c r="V13" i="18"/>
  <c r="W10" i="18"/>
  <c r="V10" i="18"/>
  <c r="E10" i="17"/>
  <c r="I9" i="17"/>
  <c r="O9" i="17" s="1"/>
  <c r="E47" i="9"/>
  <c r="BK8" i="18"/>
  <c r="AD8" i="18"/>
  <c r="AI8" i="18"/>
  <c r="AW8" i="18"/>
  <c r="BK9" i="18"/>
  <c r="AD9" i="18"/>
  <c r="AI9" i="18"/>
  <c r="AW9" i="18"/>
  <c r="BK10" i="18"/>
  <c r="AD10" i="18"/>
  <c r="AI10" i="18"/>
  <c r="AW10" i="18"/>
  <c r="BK11" i="18"/>
  <c r="AD11" i="18"/>
  <c r="AI11" i="18"/>
  <c r="AW11" i="18"/>
  <c r="BK12" i="18"/>
  <c r="AD12" i="18"/>
  <c r="AI12" i="18"/>
  <c r="AW12" i="18"/>
  <c r="BK13" i="18"/>
  <c r="AD13" i="18"/>
  <c r="AI13" i="18"/>
  <c r="AW13" i="18"/>
  <c r="BK14" i="18"/>
  <c r="AD14" i="18"/>
  <c r="AI14" i="18"/>
  <c r="AW14" i="18"/>
  <c r="BK15" i="18"/>
  <c r="AD15" i="18"/>
  <c r="AI15" i="18"/>
  <c r="AW15" i="18"/>
  <c r="BK16" i="18"/>
  <c r="AD16" i="18"/>
  <c r="AI16" i="18"/>
  <c r="AW16" i="18"/>
  <c r="BK17" i="18"/>
  <c r="AD17" i="18"/>
  <c r="AI17" i="18"/>
  <c r="AW17" i="18"/>
  <c r="AW34" i="18"/>
  <c r="BK34" i="18"/>
  <c r="AI34" i="18"/>
  <c r="AD34" i="18"/>
  <c r="AD18" i="18"/>
  <c r="BK18" i="18"/>
  <c r="AI18" i="18"/>
  <c r="AW18" i="18"/>
  <c r="AI31" i="18"/>
  <c r="AW31" i="18"/>
  <c r="BK31" i="18"/>
  <c r="AD31" i="18"/>
  <c r="AD29" i="18"/>
  <c r="BK29" i="18"/>
  <c r="AI29" i="18"/>
  <c r="AW29" i="18"/>
  <c r="AD20" i="18"/>
  <c r="BK20" i="18"/>
  <c r="AI20" i="18"/>
  <c r="AW20" i="18"/>
  <c r="BK33" i="18"/>
  <c r="AI33" i="18"/>
  <c r="AD33" i="18"/>
  <c r="AW33" i="18"/>
  <c r="BK30" i="18"/>
  <c r="AD30" i="18"/>
  <c r="AI30" i="18"/>
  <c r="AW30" i="18"/>
  <c r="AW26" i="18"/>
  <c r="AD26" i="18"/>
  <c r="AI26" i="18"/>
  <c r="BK26" i="18"/>
  <c r="BK21" i="18"/>
  <c r="AD21" i="18"/>
  <c r="AW21" i="18"/>
  <c r="AI21" i="18"/>
  <c r="AI23" i="18"/>
  <c r="BK23" i="18"/>
  <c r="AD23" i="18"/>
  <c r="AW23" i="18"/>
  <c r="AW37" i="18"/>
  <c r="BK37" i="18"/>
  <c r="AI37" i="18"/>
  <c r="AD37" i="18"/>
  <c r="AD35" i="18"/>
  <c r="BK35" i="18"/>
  <c r="AI35" i="18"/>
  <c r="AW35" i="18"/>
  <c r="BK28" i="18"/>
  <c r="AI28" i="18"/>
  <c r="AD28" i="18"/>
  <c r="AW28" i="18"/>
  <c r="AD24" i="18"/>
  <c r="AI24" i="18"/>
  <c r="AW24" i="18"/>
  <c r="BK24" i="18"/>
  <c r="BK25" i="18"/>
  <c r="AD25" i="18"/>
  <c r="AW25" i="18"/>
  <c r="AI25" i="18"/>
  <c r="E46" i="9"/>
  <c r="BK36" i="18"/>
  <c r="AI36" i="18"/>
  <c r="AW36" i="18"/>
  <c r="AD36" i="18"/>
  <c r="AD32" i="18"/>
  <c r="AW32" i="18"/>
  <c r="AI32" i="18"/>
  <c r="BK32" i="18"/>
  <c r="BK27" i="18"/>
  <c r="AI27" i="18"/>
  <c r="AD27" i="18"/>
  <c r="AW27" i="18"/>
  <c r="BK22" i="18"/>
  <c r="AI22" i="18"/>
  <c r="AD22" i="18"/>
  <c r="AW22" i="18"/>
  <c r="AI19" i="18"/>
  <c r="AW19" i="18"/>
  <c r="BK19" i="18"/>
  <c r="AD19" i="18"/>
  <c r="F10" i="18"/>
  <c r="F8" i="18"/>
  <c r="Z16" i="17"/>
  <c r="Z33" i="17"/>
  <c r="F14" i="18"/>
  <c r="F9" i="18"/>
  <c r="Z12" i="17"/>
  <c r="Z28" i="17"/>
  <c r="Z26" i="17"/>
  <c r="Z23" i="17"/>
  <c r="Z31" i="17"/>
  <c r="F11" i="18"/>
  <c r="F17" i="18"/>
  <c r="F21" i="18"/>
  <c r="F27" i="18"/>
  <c r="F30" i="18"/>
  <c r="F34" i="18"/>
  <c r="F36" i="18"/>
  <c r="Z22" i="17"/>
  <c r="Z32" i="17"/>
  <c r="Z34" i="17"/>
  <c r="Z10" i="17"/>
  <c r="Z37" i="17"/>
  <c r="Z18" i="17"/>
  <c r="Z36" i="17"/>
  <c r="Z25" i="17"/>
  <c r="F15" i="18"/>
  <c r="F19" i="18"/>
  <c r="F22" i="18"/>
  <c r="F25" i="18"/>
  <c r="F29" i="18"/>
  <c r="F32" i="18"/>
  <c r="Z35" i="17"/>
  <c r="Z30" i="17"/>
  <c r="Z8" i="17"/>
  <c r="E48" i="9" s="1"/>
  <c r="Z9" i="17"/>
  <c r="Z21" i="17"/>
  <c r="Z11" i="17"/>
  <c r="Z17" i="17"/>
  <c r="Z19" i="17"/>
  <c r="F13" i="18"/>
  <c r="F18" i="18"/>
  <c r="F23" i="18"/>
  <c r="F26" i="18"/>
  <c r="F33" i="18"/>
  <c r="F35" i="18"/>
  <c r="Z15" i="17"/>
  <c r="Z27" i="17"/>
  <c r="Z24" i="17"/>
  <c r="Z20" i="17"/>
  <c r="Z13" i="17"/>
  <c r="Z14" i="17"/>
  <c r="Z29" i="17"/>
  <c r="F12" i="18"/>
  <c r="F16" i="18"/>
  <c r="F20" i="18"/>
  <c r="F24" i="18"/>
  <c r="F28" i="18"/>
  <c r="F31" i="18"/>
  <c r="F37" i="18"/>
  <c r="X14" i="18" l="1"/>
  <c r="X32" i="18"/>
  <c r="X33" i="18"/>
  <c r="X15" i="18"/>
  <c r="X16" i="18"/>
  <c r="X25" i="18"/>
  <c r="X30" i="18"/>
  <c r="X21" i="18"/>
  <c r="AE19" i="18"/>
  <c r="AF19" i="18"/>
  <c r="AJ19" i="18"/>
  <c r="AK19" i="18"/>
  <c r="AJ22" i="18"/>
  <c r="AK22" i="18"/>
  <c r="AF27" i="18"/>
  <c r="AE27" i="18"/>
  <c r="BM32" i="18"/>
  <c r="BL32" i="18"/>
  <c r="AE32" i="18"/>
  <c r="AF32" i="18"/>
  <c r="AK36" i="18"/>
  <c r="AJ36" i="18"/>
  <c r="AK25" i="18"/>
  <c r="AJ25" i="18"/>
  <c r="BL25" i="18"/>
  <c r="BM25" i="18"/>
  <c r="AK24" i="18"/>
  <c r="AJ24" i="18"/>
  <c r="AE28" i="18"/>
  <c r="AF28" i="18"/>
  <c r="AY35" i="18"/>
  <c r="AX35" i="18"/>
  <c r="AE35" i="18"/>
  <c r="AF35" i="18"/>
  <c r="BM37" i="18"/>
  <c r="BL37" i="18"/>
  <c r="AX23" i="18"/>
  <c r="AY23" i="18"/>
  <c r="AK23" i="18"/>
  <c r="AJ23" i="18"/>
  <c r="AF21" i="18"/>
  <c r="AE21" i="18"/>
  <c r="AK26" i="18"/>
  <c r="AJ26" i="18"/>
  <c r="AY30" i="18"/>
  <c r="AX30" i="18"/>
  <c r="BM30" i="18"/>
  <c r="BL30" i="18"/>
  <c r="AK33" i="18"/>
  <c r="AJ33" i="18"/>
  <c r="AK20" i="18"/>
  <c r="AJ20" i="18"/>
  <c r="AY29" i="18"/>
  <c r="AX29" i="18"/>
  <c r="AF29" i="18"/>
  <c r="AE29" i="18"/>
  <c r="AY31" i="18"/>
  <c r="AX31" i="18"/>
  <c r="AJ18" i="18"/>
  <c r="AK18" i="18"/>
  <c r="AE34" i="18"/>
  <c r="AF34" i="18"/>
  <c r="AY34" i="18"/>
  <c r="AX34" i="18"/>
  <c r="AF17" i="18"/>
  <c r="AE17" i="18"/>
  <c r="AK16" i="18"/>
  <c r="AJ16" i="18"/>
  <c r="AY15" i="18"/>
  <c r="AX15" i="18"/>
  <c r="BM15" i="18"/>
  <c r="BL15" i="18"/>
  <c r="AF14" i="18"/>
  <c r="AE14" i="18"/>
  <c r="AK13" i="18"/>
  <c r="AJ13" i="18"/>
  <c r="AY12" i="18"/>
  <c r="AX12" i="18"/>
  <c r="BM12" i="18"/>
  <c r="BL12" i="18"/>
  <c r="AF11" i="18"/>
  <c r="AE11" i="18"/>
  <c r="AK10" i="18"/>
  <c r="AJ10" i="18"/>
  <c r="AX9" i="18"/>
  <c r="AY9" i="18"/>
  <c r="BL9" i="18"/>
  <c r="BM9" i="18"/>
  <c r="AF8" i="18"/>
  <c r="AE8" i="18"/>
  <c r="D10" i="17"/>
  <c r="BM19" i="18"/>
  <c r="BL19" i="18"/>
  <c r="AY22" i="18"/>
  <c r="AX22" i="18"/>
  <c r="BM22" i="18"/>
  <c r="BL22" i="18"/>
  <c r="AK27" i="18"/>
  <c r="AJ27" i="18"/>
  <c r="AK32" i="18"/>
  <c r="AJ32" i="18"/>
  <c r="AE36" i="18"/>
  <c r="AF36" i="18"/>
  <c r="BL36" i="18"/>
  <c r="BM36" i="18"/>
  <c r="AX25" i="18"/>
  <c r="AY25" i="18"/>
  <c r="AZ25" i="18" s="1"/>
  <c r="BA25" i="18" s="1"/>
  <c r="BM24" i="18"/>
  <c r="BL24" i="18"/>
  <c r="AE24" i="18"/>
  <c r="AF24" i="18"/>
  <c r="AK28" i="18"/>
  <c r="AJ28" i="18"/>
  <c r="AJ35" i="18"/>
  <c r="AK35" i="18"/>
  <c r="AF37" i="18"/>
  <c r="AE37" i="18"/>
  <c r="AX37" i="18"/>
  <c r="AY37" i="18"/>
  <c r="AZ37" i="18" s="1"/>
  <c r="BA37" i="18" s="1"/>
  <c r="AF23" i="18"/>
  <c r="AE23" i="18"/>
  <c r="AK21" i="18"/>
  <c r="AJ21" i="18"/>
  <c r="BL21" i="18"/>
  <c r="BM21" i="18"/>
  <c r="AF26" i="18"/>
  <c r="AE26" i="18"/>
  <c r="AJ30" i="18"/>
  <c r="AK30" i="18"/>
  <c r="AX33" i="18"/>
  <c r="AY33" i="18"/>
  <c r="AZ33" i="18" s="1"/>
  <c r="BA33" i="18" s="1"/>
  <c r="BM33" i="18"/>
  <c r="BL33" i="18"/>
  <c r="BM20" i="18"/>
  <c r="BL20" i="18"/>
  <c r="AJ29" i="18"/>
  <c r="AK29" i="18"/>
  <c r="AF31" i="18"/>
  <c r="AE31" i="18"/>
  <c r="AK31" i="18"/>
  <c r="AJ31" i="18"/>
  <c r="BL18" i="18"/>
  <c r="BM18" i="18"/>
  <c r="BN18" i="18" s="1"/>
  <c r="AK34" i="18"/>
  <c r="AJ34" i="18"/>
  <c r="AX17" i="18"/>
  <c r="AY17" i="18"/>
  <c r="BL17" i="18"/>
  <c r="BM17" i="18"/>
  <c r="AE16" i="18"/>
  <c r="AF16" i="18"/>
  <c r="AJ15" i="18"/>
  <c r="AK15" i="18"/>
  <c r="AX14" i="18"/>
  <c r="AY14" i="18"/>
  <c r="AZ14" i="18" s="1"/>
  <c r="BA14" i="18" s="1"/>
  <c r="BL14" i="18"/>
  <c r="BM14" i="18"/>
  <c r="AE13" i="18"/>
  <c r="AF13" i="18"/>
  <c r="AJ12" i="18"/>
  <c r="AK12" i="18"/>
  <c r="AX11" i="18"/>
  <c r="AY11" i="18"/>
  <c r="BL11" i="18"/>
  <c r="BM11" i="18"/>
  <c r="AE10" i="18"/>
  <c r="AF10" i="18"/>
  <c r="AG10" i="18" s="1"/>
  <c r="AK9" i="18"/>
  <c r="AJ9" i="18"/>
  <c r="AY8" i="18"/>
  <c r="AX8" i="18"/>
  <c r="BM8" i="18"/>
  <c r="BL8" i="18"/>
  <c r="X13" i="18"/>
  <c r="X12" i="18"/>
  <c r="X22" i="18"/>
  <c r="X18" i="18"/>
  <c r="X9" i="18"/>
  <c r="X20" i="18"/>
  <c r="X29" i="18"/>
  <c r="X34" i="18"/>
  <c r="X31" i="18"/>
  <c r="X28" i="18"/>
  <c r="AX19" i="18"/>
  <c r="AY19" i="18"/>
  <c r="AE22" i="18"/>
  <c r="AF22" i="18"/>
  <c r="AX27" i="18"/>
  <c r="AY27" i="18"/>
  <c r="BM27" i="18"/>
  <c r="BL27" i="18"/>
  <c r="AX32" i="18"/>
  <c r="AY32" i="18"/>
  <c r="AX36" i="18"/>
  <c r="AY36" i="18"/>
  <c r="AZ36" i="18" s="1"/>
  <c r="AE25" i="18"/>
  <c r="AF25" i="18"/>
  <c r="AX24" i="18"/>
  <c r="AY24" i="18"/>
  <c r="AY28" i="18"/>
  <c r="AX28" i="18"/>
  <c r="BL28" i="18"/>
  <c r="BM28" i="18"/>
  <c r="BN28" i="18" s="1"/>
  <c r="BO28" i="18" s="1"/>
  <c r="BL35" i="18"/>
  <c r="BM35" i="18"/>
  <c r="AJ37" i="18"/>
  <c r="AK37" i="18"/>
  <c r="AL37" i="18" s="1"/>
  <c r="AM37" i="18" s="1"/>
  <c r="BL23" i="18"/>
  <c r="BM23" i="18"/>
  <c r="AX21" i="18"/>
  <c r="AY21" i="18"/>
  <c r="BL26" i="18"/>
  <c r="BM26" i="18"/>
  <c r="AY26" i="18"/>
  <c r="AX26" i="18"/>
  <c r="AF30" i="18"/>
  <c r="AE30" i="18"/>
  <c r="AE33" i="18"/>
  <c r="AF33" i="18"/>
  <c r="AG33" i="18" s="1"/>
  <c r="AH33" i="18" s="1"/>
  <c r="AY20" i="18"/>
  <c r="AX20" i="18"/>
  <c r="AF20" i="18"/>
  <c r="AE20" i="18"/>
  <c r="BL29" i="18"/>
  <c r="BM29" i="18"/>
  <c r="BL31" i="18"/>
  <c r="BM31" i="18"/>
  <c r="BN31" i="18" s="1"/>
  <c r="BO31" i="18" s="1"/>
  <c r="AY18" i="18"/>
  <c r="AX18" i="18"/>
  <c r="AF18" i="18"/>
  <c r="AE18" i="18"/>
  <c r="BL34" i="18"/>
  <c r="BM34" i="18"/>
  <c r="AK17" i="18"/>
  <c r="AJ17" i="18"/>
  <c r="AY16" i="18"/>
  <c r="AX16" i="18"/>
  <c r="BM16" i="18"/>
  <c r="BL16" i="18"/>
  <c r="AF15" i="18"/>
  <c r="AE15" i="18"/>
  <c r="AK14" i="18"/>
  <c r="AJ14" i="18"/>
  <c r="AY13" i="18"/>
  <c r="AX13" i="18"/>
  <c r="BM13" i="18"/>
  <c r="BL13" i="18"/>
  <c r="AF12" i="18"/>
  <c r="AE12" i="18"/>
  <c r="AK11" i="18"/>
  <c r="AJ11" i="18"/>
  <c r="AY10" i="18"/>
  <c r="AX10" i="18"/>
  <c r="BM10" i="18"/>
  <c r="BL10" i="18"/>
  <c r="AF9" i="18"/>
  <c r="AE9" i="18"/>
  <c r="AJ8" i="18"/>
  <c r="AK8" i="18"/>
  <c r="X10" i="18"/>
  <c r="X8" i="18"/>
  <c r="N15" i="18"/>
  <c r="X19" i="18"/>
  <c r="X11" i="18"/>
  <c r="X24" i="18"/>
  <c r="J18" i="18"/>
  <c r="J19" i="18" s="1"/>
  <c r="X17" i="18"/>
  <c r="X26" i="18"/>
  <c r="X27" i="18"/>
  <c r="X36" i="18"/>
  <c r="X35" i="18"/>
  <c r="AL19" i="18" l="1"/>
  <c r="AG8" i="18"/>
  <c r="AL10" i="18"/>
  <c r="BN12" i="18"/>
  <c r="BO12" i="18" s="1"/>
  <c r="BN15" i="18"/>
  <c r="BO15" i="18" s="1"/>
  <c r="AL16" i="18"/>
  <c r="AM16" i="18" s="1"/>
  <c r="AG29" i="18"/>
  <c r="AL26" i="18"/>
  <c r="AM26" i="18" s="1"/>
  <c r="AZ35" i="18"/>
  <c r="AL24" i="18"/>
  <c r="AM24" i="18" s="1"/>
  <c r="BN34" i="18"/>
  <c r="BO34" i="18" s="1"/>
  <c r="BN29" i="18"/>
  <c r="BO29" i="18" s="1"/>
  <c r="BN26" i="18"/>
  <c r="BN23" i="18"/>
  <c r="BO23" i="18" s="1"/>
  <c r="AG25" i="18"/>
  <c r="AH25" i="18" s="1"/>
  <c r="AZ27" i="18"/>
  <c r="BA27" i="18" s="1"/>
  <c r="AZ19" i="18"/>
  <c r="AL12" i="18"/>
  <c r="AM12" i="18" s="1"/>
  <c r="BN17" i="18"/>
  <c r="AL29" i="18"/>
  <c r="AM29" i="18" s="1"/>
  <c r="BN21" i="18"/>
  <c r="BO21" i="18" s="1"/>
  <c r="AZ12" i="18"/>
  <c r="AG14" i="18"/>
  <c r="AH14" i="18" s="1"/>
  <c r="AG17" i="18"/>
  <c r="AH17" i="18" s="1"/>
  <c r="AL33" i="18"/>
  <c r="AM33" i="18" s="1"/>
  <c r="AL36" i="18"/>
  <c r="AZ10" i="18"/>
  <c r="BA10" i="18" s="1"/>
  <c r="AG15" i="18"/>
  <c r="AH15" i="18" s="1"/>
  <c r="AZ18" i="18"/>
  <c r="BA18" i="18" s="1"/>
  <c r="AG30" i="18"/>
  <c r="AH30" i="18" s="1"/>
  <c r="AL9" i="18"/>
  <c r="AL34" i="18"/>
  <c r="AM34" i="18" s="1"/>
  <c r="AL31" i="18"/>
  <c r="BN33" i="18"/>
  <c r="BO33" i="18" s="1"/>
  <c r="AG23" i="18"/>
  <c r="AH23" i="18" s="1"/>
  <c r="AG37" i="18"/>
  <c r="AH37" i="18" s="1"/>
  <c r="BN24" i="18"/>
  <c r="BN22" i="18"/>
  <c r="BN19" i="18"/>
  <c r="BO19" i="18" s="1"/>
  <c r="BN9" i="18"/>
  <c r="BO9" i="18" s="1"/>
  <c r="BO18" i="18"/>
  <c r="AG27" i="18"/>
  <c r="BN13" i="18"/>
  <c r="BO13" i="18" s="1"/>
  <c r="AL17" i="18"/>
  <c r="AM17" i="18" s="1"/>
  <c r="AG20" i="18"/>
  <c r="AH20" i="18" s="1"/>
  <c r="AZ8" i="18"/>
  <c r="BA8" i="18" s="1"/>
  <c r="AG31" i="18"/>
  <c r="AH31" i="18" s="1"/>
  <c r="BN20" i="18"/>
  <c r="BO20" i="18" s="1"/>
  <c r="AG26" i="18"/>
  <c r="AL21" i="18"/>
  <c r="AM21" i="18" s="1"/>
  <c r="AL27" i="18"/>
  <c r="AM27" i="18" s="1"/>
  <c r="AG35" i="18"/>
  <c r="AH35" i="18" s="1"/>
  <c r="AG28" i="18"/>
  <c r="AH28" i="18" s="1"/>
  <c r="AG19" i="18"/>
  <c r="AH19" i="18" s="1"/>
  <c r="N16" i="18"/>
  <c r="AG12" i="18"/>
  <c r="AH12" i="18" s="1"/>
  <c r="AL14" i="18"/>
  <c r="AM14" i="18" s="1"/>
  <c r="AZ16" i="18"/>
  <c r="BA16" i="18" s="1"/>
  <c r="AH10" i="18"/>
  <c r="BO17" i="18"/>
  <c r="AM31" i="18"/>
  <c r="C10" i="17"/>
  <c r="AH29" i="18"/>
  <c r="BA35" i="18"/>
  <c r="BN10" i="18"/>
  <c r="BO10" i="18" s="1"/>
  <c r="AG18" i="18"/>
  <c r="AH18" i="18" s="1"/>
  <c r="AZ28" i="18"/>
  <c r="BA28" i="18" s="1"/>
  <c r="BA19" i="18"/>
  <c r="J20" i="18"/>
  <c r="AL8" i="18"/>
  <c r="AM8" i="18" s="1"/>
  <c r="AG9" i="18"/>
  <c r="AH9" i="18" s="1"/>
  <c r="AL11" i="18"/>
  <c r="AM11" i="18" s="1"/>
  <c r="AZ13" i="18"/>
  <c r="BA13" i="18" s="1"/>
  <c r="BN16" i="18"/>
  <c r="BO16" i="18" s="1"/>
  <c r="AZ20" i="18"/>
  <c r="BA20" i="18" s="1"/>
  <c r="AZ26" i="18"/>
  <c r="BA26" i="18" s="1"/>
  <c r="AZ21" i="18"/>
  <c r="BA21" i="18" s="1"/>
  <c r="BN35" i="18"/>
  <c r="BO35" i="18" s="1"/>
  <c r="AZ24" i="18"/>
  <c r="BA24" i="18" s="1"/>
  <c r="AZ32" i="18"/>
  <c r="BA32" i="18" s="1"/>
  <c r="BN27" i="18"/>
  <c r="BO27" i="18" s="1"/>
  <c r="AG22" i="18"/>
  <c r="AH22" i="18" s="1"/>
  <c r="J21" i="18"/>
  <c r="BN8" i="18"/>
  <c r="BO8" i="18" s="1"/>
  <c r="AZ11" i="18"/>
  <c r="BA11" i="18" s="1"/>
  <c r="BN14" i="18"/>
  <c r="BO14" i="18" s="1"/>
  <c r="AG16" i="18"/>
  <c r="AH16" i="18" s="1"/>
  <c r="AL35" i="18"/>
  <c r="AM35" i="18" s="1"/>
  <c r="AL28" i="18"/>
  <c r="AM28" i="18" s="1"/>
  <c r="AG36" i="18"/>
  <c r="AH36" i="18" s="1"/>
  <c r="AL32" i="18"/>
  <c r="AM32" i="18" s="1"/>
  <c r="AZ22" i="18"/>
  <c r="BA22" i="18" s="1"/>
  <c r="AG11" i="18"/>
  <c r="AH11" i="18" s="1"/>
  <c r="AL13" i="18"/>
  <c r="AM13" i="18" s="1"/>
  <c r="AZ15" i="18"/>
  <c r="BA15" i="18" s="1"/>
  <c r="AZ34" i="18"/>
  <c r="BA34" i="18" s="1"/>
  <c r="AL18" i="18"/>
  <c r="AM18" i="18" s="1"/>
  <c r="AZ31" i="18"/>
  <c r="BA31" i="18" s="1"/>
  <c r="AL20" i="18"/>
  <c r="AM20" i="18" s="1"/>
  <c r="AZ30" i="18"/>
  <c r="BA30" i="18" s="1"/>
  <c r="AL23" i="18"/>
  <c r="AM23" i="18" s="1"/>
  <c r="AM36" i="18"/>
  <c r="AH27" i="18"/>
  <c r="AM19" i="18"/>
  <c r="BO26" i="18"/>
  <c r="BA36" i="18"/>
  <c r="AM9" i="18"/>
  <c r="BN11" i="18"/>
  <c r="BO11" i="18" s="1"/>
  <c r="AG13" i="18"/>
  <c r="AH13" i="18" s="1"/>
  <c r="AL15" i="18"/>
  <c r="AM15" i="18" s="1"/>
  <c r="AZ17" i="18"/>
  <c r="BA17" i="18" s="1"/>
  <c r="AL30" i="18"/>
  <c r="AM30" i="18" s="1"/>
  <c r="AH26" i="18"/>
  <c r="AG24" i="18"/>
  <c r="AH24" i="18" s="1"/>
  <c r="BO24" i="18"/>
  <c r="BN36" i="18"/>
  <c r="BO36" i="18" s="1"/>
  <c r="BO22" i="18"/>
  <c r="AH8" i="18"/>
  <c r="AZ9" i="18"/>
  <c r="BA9" i="18" s="1"/>
  <c r="AM10" i="18"/>
  <c r="BA12" i="18"/>
  <c r="AG34" i="18"/>
  <c r="AH34" i="18" s="1"/>
  <c r="AZ29" i="18"/>
  <c r="BA29" i="18" s="1"/>
  <c r="BN30" i="18"/>
  <c r="BO30" i="18" s="1"/>
  <c r="AG21" i="18"/>
  <c r="AH21" i="18" s="1"/>
  <c r="AZ23" i="18"/>
  <c r="BA23" i="18" s="1"/>
  <c r="BN37" i="18"/>
  <c r="BO37" i="18" s="1"/>
  <c r="BN25" i="18"/>
  <c r="BO25" i="18" s="1"/>
  <c r="AL25" i="18"/>
  <c r="AM25" i="18" s="1"/>
  <c r="AG32" i="18"/>
  <c r="AH32" i="18" s="1"/>
  <c r="BN32" i="18"/>
  <c r="BO32" i="18" s="1"/>
  <c r="AL22" i="18"/>
  <c r="AM22" i="18" s="1"/>
  <c r="N17" i="18" l="1"/>
  <c r="D12" i="19"/>
  <c r="F12" i="19" s="1"/>
  <c r="E11" i="17"/>
  <c r="I10" i="17"/>
  <c r="D10" i="19"/>
  <c r="F10" i="19" s="1"/>
  <c r="D9" i="19"/>
  <c r="F9" i="19" s="1"/>
  <c r="D14" i="19"/>
  <c r="F14" i="19" s="1"/>
  <c r="J22" i="18"/>
  <c r="D11" i="17" l="1"/>
  <c r="O10" i="17"/>
  <c r="J23" i="18"/>
  <c r="J24" i="18"/>
  <c r="N18" i="18"/>
  <c r="N19" i="18" l="1"/>
  <c r="J25" i="18"/>
  <c r="J26" i="18" s="1"/>
  <c r="N20" i="18"/>
  <c r="C11" i="17"/>
  <c r="J27" i="18" l="1"/>
  <c r="E12" i="17"/>
  <c r="I11" i="17"/>
  <c r="J28" i="18"/>
  <c r="N21" i="18"/>
  <c r="N22" i="18" l="1"/>
  <c r="D12" i="17"/>
  <c r="O11" i="17"/>
  <c r="J29" i="18"/>
  <c r="C12" i="17" l="1"/>
  <c r="N23" i="18"/>
  <c r="J30" i="18"/>
  <c r="N24" i="18" l="1"/>
  <c r="J31" i="18"/>
  <c r="E13" i="17"/>
  <c r="I12" i="17"/>
  <c r="D13" i="17" l="1"/>
  <c r="N25" i="18"/>
  <c r="O12" i="17"/>
  <c r="J32" i="18"/>
  <c r="J33" i="18" l="1"/>
  <c r="N26" i="18"/>
  <c r="C13" i="17"/>
  <c r="N27" i="18" l="1"/>
  <c r="J34" i="18"/>
  <c r="E14" i="17"/>
  <c r="D14" i="17" s="1"/>
  <c r="C14" i="17"/>
  <c r="I13" i="17"/>
  <c r="E15" i="17" l="1"/>
  <c r="D15" i="17" s="1"/>
  <c r="C15" i="17" s="1"/>
  <c r="I14" i="17"/>
  <c r="O14" i="17" s="1"/>
  <c r="O13" i="17"/>
  <c r="J35" i="18"/>
  <c r="N28" i="18"/>
  <c r="E16" i="17" l="1"/>
  <c r="D16" i="17" s="1"/>
  <c r="C16" i="17" s="1"/>
  <c r="I15" i="17"/>
  <c r="O15" i="17" s="1"/>
  <c r="J36" i="18"/>
  <c r="N29" i="18"/>
  <c r="N30" i="18" l="1"/>
  <c r="J37" i="18"/>
  <c r="E17" i="17"/>
  <c r="D17" i="17" s="1"/>
  <c r="C17" i="17" s="1"/>
  <c r="I16" i="17"/>
  <c r="O16" i="17" s="1"/>
  <c r="E18" i="17" l="1"/>
  <c r="D18" i="17" s="1"/>
  <c r="C18" i="17" s="1"/>
  <c r="I17" i="17"/>
  <c r="O17" i="17" s="1"/>
  <c r="N31" i="18"/>
  <c r="E19" i="17" l="1"/>
  <c r="D19" i="17" s="1"/>
  <c r="C19" i="17"/>
  <c r="I18" i="17"/>
  <c r="O18" i="17" s="1"/>
  <c r="N32" i="18"/>
  <c r="E20" i="17" l="1"/>
  <c r="D20" i="17" s="1"/>
  <c r="C20" i="17" s="1"/>
  <c r="I19" i="17"/>
  <c r="N33" i="18"/>
  <c r="E21" i="17" l="1"/>
  <c r="D21" i="17" s="1"/>
  <c r="C21" i="17" s="1"/>
  <c r="I20" i="17"/>
  <c r="N34" i="18"/>
  <c r="E22" i="17" l="1"/>
  <c r="D22" i="17" s="1"/>
  <c r="C22" i="17"/>
  <c r="I21" i="17"/>
  <c r="N35" i="18"/>
  <c r="E23" i="17" l="1"/>
  <c r="D23" i="17" s="1"/>
  <c r="C23" i="17" s="1"/>
  <c r="I22" i="17"/>
  <c r="N36" i="18"/>
  <c r="E24" i="17" l="1"/>
  <c r="D24" i="17" s="1"/>
  <c r="C24" i="17" s="1"/>
  <c r="I23" i="17"/>
  <c r="N37" i="18"/>
  <c r="E25" i="17" l="1"/>
  <c r="D25" i="17" s="1"/>
  <c r="C25" i="17" s="1"/>
  <c r="I24" i="17"/>
  <c r="BZ35" i="18"/>
  <c r="BZ17" i="18"/>
  <c r="BZ20" i="18"/>
  <c r="CD32" i="18"/>
  <c r="CD8" i="18"/>
  <c r="E15" i="19"/>
  <c r="CD18" i="18"/>
  <c r="CD20" i="18"/>
  <c r="CD28" i="18"/>
  <c r="BZ14" i="18"/>
  <c r="BZ11" i="18"/>
  <c r="BZ30" i="18"/>
  <c r="CD21" i="18"/>
  <c r="BZ37" i="18"/>
  <c r="BZ34" i="18"/>
  <c r="BZ18" i="18"/>
  <c r="CD26" i="18"/>
  <c r="CD25" i="18"/>
  <c r="BZ15" i="18"/>
  <c r="BZ23" i="18"/>
  <c r="CD9" i="18"/>
  <c r="CD17" i="18"/>
  <c r="CD36" i="18"/>
  <c r="CD31" i="18"/>
  <c r="CD14" i="18"/>
  <c r="CD10" i="18"/>
  <c r="CD27" i="18"/>
  <c r="BZ8" i="18"/>
  <c r="BZ22" i="18"/>
  <c r="CD23" i="18"/>
  <c r="BZ26" i="18"/>
  <c r="BZ21" i="18"/>
  <c r="CD24" i="18"/>
  <c r="CD12" i="18"/>
  <c r="CD16" i="18"/>
  <c r="CD30" i="18"/>
  <c r="CD37" i="18"/>
  <c r="BZ28" i="18"/>
  <c r="BZ12" i="18"/>
  <c r="BZ27" i="18"/>
  <c r="CD33" i="18"/>
  <c r="CD35" i="18"/>
  <c r="BZ19" i="18"/>
  <c r="BZ25" i="18"/>
  <c r="CD29" i="18"/>
  <c r="BZ29" i="18"/>
  <c r="BZ9" i="18"/>
  <c r="CD22" i="18"/>
  <c r="BZ16" i="18"/>
  <c r="BZ33" i="18"/>
  <c r="BZ36" i="18"/>
  <c r="CD15" i="18"/>
  <c r="BZ13" i="18"/>
  <c r="CD13" i="18"/>
  <c r="BZ31" i="18"/>
  <c r="CD19" i="18"/>
  <c r="BZ10" i="18"/>
  <c r="CD11" i="18"/>
  <c r="BZ24" i="18"/>
  <c r="BZ32" i="18"/>
  <c r="CD34" i="18"/>
  <c r="E26" i="17" l="1"/>
  <c r="D26" i="17" s="1"/>
  <c r="C26" i="17" s="1"/>
  <c r="I25" i="17"/>
  <c r="E27" i="17" l="1"/>
  <c r="D27" i="17" s="1"/>
  <c r="C27" i="17" s="1"/>
  <c r="I26" i="17"/>
  <c r="E28" i="17" l="1"/>
  <c r="D28" i="17" s="1"/>
  <c r="C28" i="17" s="1"/>
  <c r="I27" i="17"/>
  <c r="E29" i="17" l="1"/>
  <c r="D29" i="17" s="1"/>
  <c r="C29" i="17" s="1"/>
  <c r="I28" i="17"/>
  <c r="E30" i="17" l="1"/>
  <c r="D30" i="17" s="1"/>
  <c r="C30" i="17" s="1"/>
  <c r="I29" i="17"/>
  <c r="E31" i="17" l="1"/>
  <c r="D31" i="17" s="1"/>
  <c r="C31" i="17" s="1"/>
  <c r="I30" i="17"/>
  <c r="E32" i="17" l="1"/>
  <c r="D32" i="17" s="1"/>
  <c r="C32" i="17" s="1"/>
  <c r="I31" i="17"/>
  <c r="E33" i="17" l="1"/>
  <c r="D33" i="17" s="1"/>
  <c r="C33" i="17" s="1"/>
  <c r="I32" i="17"/>
  <c r="E34" i="17" l="1"/>
  <c r="D34" i="17" s="1"/>
  <c r="C34" i="17" s="1"/>
  <c r="I33" i="17"/>
  <c r="E35" i="17" l="1"/>
  <c r="D35" i="17" s="1"/>
  <c r="C35" i="17" s="1"/>
  <c r="I34" i="17"/>
  <c r="E36" i="17" l="1"/>
  <c r="D36" i="17" s="1"/>
  <c r="C36" i="17" s="1"/>
  <c r="I35" i="17"/>
  <c r="E37" i="17" l="1"/>
  <c r="D37" i="17" s="1"/>
  <c r="C37" i="17" s="1"/>
  <c r="I36" i="17"/>
  <c r="E38" i="17" l="1"/>
  <c r="D38" i="17" s="1"/>
  <c r="C38" i="17" s="1"/>
  <c r="I37" i="17"/>
  <c r="E39" i="17" l="1"/>
  <c r="D39" i="17" s="1"/>
  <c r="C39" i="17" s="1"/>
  <c r="I38" i="17"/>
  <c r="E40" i="17" l="1"/>
  <c r="D40" i="17" s="1"/>
  <c r="C40" i="17" s="1"/>
  <c r="I39" i="17"/>
  <c r="E41" i="17" l="1"/>
  <c r="D41" i="17" s="1"/>
  <c r="C41" i="17" s="1"/>
  <c r="I40" i="17"/>
  <c r="E42" i="17" l="1"/>
  <c r="D42" i="17" s="1"/>
  <c r="C42" i="17" s="1"/>
  <c r="I41" i="17"/>
  <c r="E43" i="17" l="1"/>
  <c r="D43" i="17" s="1"/>
  <c r="C43" i="17" s="1"/>
  <c r="I42" i="17"/>
  <c r="E44" i="17" l="1"/>
  <c r="D44" i="17" s="1"/>
  <c r="C44" i="17" s="1"/>
  <c r="I43" i="17"/>
  <c r="E45" i="17" l="1"/>
  <c r="D45" i="17" s="1"/>
  <c r="C45" i="17" s="1"/>
  <c r="I44" i="17"/>
  <c r="E46" i="17" l="1"/>
  <c r="D46" i="17" s="1"/>
  <c r="C46" i="17" s="1"/>
  <c r="I45" i="17"/>
  <c r="E47" i="17" l="1"/>
  <c r="D47" i="17" s="1"/>
  <c r="C47" i="17" s="1"/>
  <c r="I46" i="17"/>
  <c r="E48" i="17" l="1"/>
  <c r="D48" i="17" s="1"/>
  <c r="C48" i="17" s="1"/>
  <c r="I47" i="17"/>
  <c r="E49" i="17" l="1"/>
  <c r="D49" i="17" s="1"/>
  <c r="C49" i="17" s="1"/>
  <c r="I48" i="17"/>
  <c r="E50" i="17" l="1"/>
  <c r="D50" i="17" s="1"/>
  <c r="C50" i="17" s="1"/>
  <c r="I49" i="17"/>
  <c r="E51" i="17" l="1"/>
  <c r="D51" i="17" s="1"/>
  <c r="C51" i="17" s="1"/>
  <c r="I50" i="17"/>
  <c r="E52" i="17" l="1"/>
  <c r="D52" i="17" s="1"/>
  <c r="C52" i="17" s="1"/>
  <c r="I51" i="17"/>
  <c r="E53" i="17" l="1"/>
  <c r="D53" i="17" s="1"/>
  <c r="C53" i="17" s="1"/>
  <c r="I52" i="17"/>
  <c r="E54" i="17" l="1"/>
  <c r="D54" i="17" s="1"/>
  <c r="C54" i="17" s="1"/>
  <c r="I53" i="17"/>
  <c r="E55" i="17" l="1"/>
  <c r="D55" i="17" s="1"/>
  <c r="C55" i="17" s="1"/>
  <c r="I54" i="17"/>
  <c r="E56" i="17" l="1"/>
  <c r="D56" i="17" s="1"/>
  <c r="C56" i="17" s="1"/>
  <c r="I55" i="17"/>
  <c r="E57" i="17" l="1"/>
  <c r="D57" i="17" s="1"/>
  <c r="C57" i="17" s="1"/>
  <c r="I56" i="17"/>
  <c r="E58" i="17" l="1"/>
  <c r="D58" i="17" s="1"/>
  <c r="C58" i="17" s="1"/>
  <c r="I57" i="17"/>
  <c r="E59" i="17" l="1"/>
  <c r="D59" i="17" s="1"/>
  <c r="C59" i="17" s="1"/>
  <c r="I58" i="17"/>
  <c r="E60" i="17" l="1"/>
  <c r="D60" i="17" s="1"/>
  <c r="C60" i="17" s="1"/>
  <c r="I59" i="17"/>
  <c r="E61" i="17" l="1"/>
  <c r="D61" i="17" s="1"/>
  <c r="C61" i="17" s="1"/>
  <c r="I60" i="17"/>
  <c r="E62" i="17" l="1"/>
  <c r="D62" i="17" s="1"/>
  <c r="C62" i="17" s="1"/>
  <c r="I61" i="17"/>
  <c r="E63" i="17" l="1"/>
  <c r="D63" i="17" s="1"/>
  <c r="C63" i="17" s="1"/>
  <c r="I62" i="17"/>
  <c r="E64" i="17" l="1"/>
  <c r="D64" i="17" s="1"/>
  <c r="C64" i="17"/>
  <c r="I63" i="17"/>
  <c r="E65" i="17" l="1"/>
  <c r="D65" i="17" s="1"/>
  <c r="C65" i="17" s="1"/>
  <c r="I64" i="17"/>
  <c r="E66" i="17" l="1"/>
  <c r="D66" i="17" s="1"/>
  <c r="C66" i="17" s="1"/>
  <c r="I65" i="17"/>
  <c r="E67" i="17" l="1"/>
  <c r="D67" i="17" s="1"/>
  <c r="C67" i="17" s="1"/>
  <c r="I66" i="17"/>
  <c r="E68" i="17" l="1"/>
  <c r="D68" i="17" s="1"/>
  <c r="C68" i="17" s="1"/>
  <c r="I67" i="17"/>
  <c r="E69" i="17" l="1"/>
  <c r="D69" i="17" s="1"/>
  <c r="C69" i="17" s="1"/>
  <c r="I68" i="17"/>
  <c r="E70" i="17" l="1"/>
  <c r="D70" i="17" s="1"/>
  <c r="C70" i="17" s="1"/>
  <c r="I69" i="17"/>
  <c r="E71" i="17" l="1"/>
  <c r="D71" i="17" s="1"/>
  <c r="C71" i="17" s="1"/>
  <c r="I70" i="17"/>
  <c r="E72" i="17" l="1"/>
  <c r="D72" i="17" s="1"/>
  <c r="C72" i="17" s="1"/>
  <c r="I71" i="17"/>
  <c r="E73" i="17" l="1"/>
  <c r="D73" i="17" s="1"/>
  <c r="C73" i="17" s="1"/>
  <c r="I72" i="17"/>
  <c r="E74" i="17" l="1"/>
  <c r="D74" i="17" s="1"/>
  <c r="C74" i="17" s="1"/>
  <c r="I73" i="17"/>
  <c r="E75" i="17" l="1"/>
  <c r="D75" i="17" s="1"/>
  <c r="C75" i="17" s="1"/>
  <c r="I74" i="17"/>
  <c r="E76" i="17" l="1"/>
  <c r="D76" i="17" s="1"/>
  <c r="C76" i="17" s="1"/>
  <c r="I75" i="17"/>
  <c r="E77" i="17" l="1"/>
  <c r="D77" i="17" s="1"/>
  <c r="C77" i="17" s="1"/>
  <c r="I76" i="17"/>
  <c r="E78" i="17" l="1"/>
  <c r="D78" i="17" s="1"/>
  <c r="C78" i="17" s="1"/>
  <c r="I77" i="17"/>
  <c r="E79" i="17" l="1"/>
  <c r="D79" i="17" s="1"/>
  <c r="C79" i="17" s="1"/>
  <c r="I78" i="17"/>
  <c r="E80" i="17" l="1"/>
  <c r="D80" i="17" s="1"/>
  <c r="C80" i="17" s="1"/>
  <c r="I79" i="17"/>
  <c r="E81" i="17" l="1"/>
  <c r="D81" i="17" s="1"/>
  <c r="C81" i="17" s="1"/>
  <c r="I80" i="17"/>
  <c r="E82" i="17" l="1"/>
  <c r="D82" i="17" s="1"/>
  <c r="C82" i="17" s="1"/>
  <c r="I81" i="17"/>
  <c r="E83" i="17" l="1"/>
  <c r="D83" i="17" s="1"/>
  <c r="C83" i="17" s="1"/>
  <c r="I82" i="17"/>
  <c r="E84" i="17" l="1"/>
  <c r="D84" i="17" s="1"/>
  <c r="C84" i="17" s="1"/>
  <c r="I83" i="17"/>
  <c r="E85" i="17" l="1"/>
  <c r="D85" i="17" s="1"/>
  <c r="C85" i="17" s="1"/>
  <c r="I84" i="17"/>
  <c r="E86" i="17" l="1"/>
  <c r="D86" i="17" s="1"/>
  <c r="C86" i="17" s="1"/>
  <c r="I85" i="17"/>
  <c r="E87" i="17" l="1"/>
  <c r="D87" i="17" s="1"/>
  <c r="C87" i="17" s="1"/>
  <c r="I86" i="17"/>
  <c r="E88" i="17" l="1"/>
  <c r="D88" i="17" s="1"/>
  <c r="C88" i="17" s="1"/>
  <c r="I87" i="17"/>
  <c r="E89" i="17" l="1"/>
  <c r="D89" i="17" s="1"/>
  <c r="C89" i="17" s="1"/>
  <c r="I88" i="17"/>
  <c r="E90" i="17" l="1"/>
  <c r="D90" i="17" s="1"/>
  <c r="C90" i="17" s="1"/>
  <c r="I89" i="17"/>
  <c r="E91" i="17" l="1"/>
  <c r="D91" i="17" s="1"/>
  <c r="C91" i="17" s="1"/>
  <c r="I90" i="17"/>
  <c r="E92" i="17" l="1"/>
  <c r="D92" i="17" s="1"/>
  <c r="C92" i="17" s="1"/>
  <c r="I91" i="17"/>
  <c r="E93" i="17" l="1"/>
  <c r="D93" i="17" s="1"/>
  <c r="C93" i="17"/>
  <c r="I92" i="17"/>
  <c r="E94" i="17" l="1"/>
  <c r="D94" i="17" s="1"/>
  <c r="C94" i="17" s="1"/>
  <c r="I93" i="17"/>
  <c r="E95" i="17" l="1"/>
  <c r="D95" i="17" s="1"/>
  <c r="C95" i="17" s="1"/>
  <c r="I94" i="17"/>
  <c r="E96" i="17" l="1"/>
  <c r="D96" i="17" s="1"/>
  <c r="C96" i="17" s="1"/>
  <c r="I95" i="17"/>
  <c r="E97" i="17" l="1"/>
  <c r="D97" i="17" s="1"/>
  <c r="C97" i="17" s="1"/>
  <c r="I96" i="17"/>
  <c r="E98" i="17" l="1"/>
  <c r="D98" i="17" s="1"/>
  <c r="C98" i="17" s="1"/>
  <c r="I97" i="17"/>
  <c r="E99" i="17" l="1"/>
  <c r="D99" i="17" s="1"/>
  <c r="C99" i="17" s="1"/>
  <c r="I98" i="17"/>
  <c r="E100" i="17" l="1"/>
  <c r="D100" i="17" s="1"/>
  <c r="C100" i="17" s="1"/>
  <c r="I99" i="17"/>
  <c r="E101" i="17" l="1"/>
  <c r="D101" i="17" s="1"/>
  <c r="C101" i="17" s="1"/>
  <c r="I100" i="17"/>
  <c r="E102" i="17" l="1"/>
  <c r="D102" i="17" s="1"/>
  <c r="C102" i="17" s="1"/>
  <c r="I101" i="17"/>
  <c r="E103" i="17" l="1"/>
  <c r="D103" i="17" s="1"/>
  <c r="C103" i="17" s="1"/>
  <c r="I102" i="17"/>
  <c r="E104" i="17" l="1"/>
  <c r="D104" i="17" s="1"/>
  <c r="C104" i="17" s="1"/>
  <c r="I103" i="17"/>
  <c r="E105" i="17" l="1"/>
  <c r="D105" i="17" s="1"/>
  <c r="C105" i="17" s="1"/>
  <c r="I104" i="17"/>
  <c r="E106" i="17" l="1"/>
  <c r="D106" i="17" s="1"/>
  <c r="C106" i="17" s="1"/>
  <c r="I105" i="17"/>
  <c r="E107" i="17" l="1"/>
  <c r="D107" i="17" s="1"/>
  <c r="C107" i="17" s="1"/>
  <c r="I106" i="17"/>
  <c r="E108" i="17" l="1"/>
  <c r="D108" i="17" s="1"/>
  <c r="C108" i="17" s="1"/>
  <c r="I107" i="17"/>
  <c r="E109" i="17" l="1"/>
  <c r="D109" i="17" s="1"/>
  <c r="C109" i="17"/>
  <c r="I108" i="17"/>
  <c r="E110" i="17" l="1"/>
  <c r="D110" i="17" s="1"/>
  <c r="C110" i="17" s="1"/>
  <c r="I109" i="17"/>
  <c r="E111" i="17" l="1"/>
  <c r="D111" i="17" s="1"/>
  <c r="C111" i="17" s="1"/>
  <c r="I110" i="17"/>
  <c r="E112" i="17" l="1"/>
  <c r="D112" i="17" s="1"/>
  <c r="C112" i="17" s="1"/>
  <c r="I111" i="17"/>
  <c r="E113" i="17" l="1"/>
  <c r="D113" i="17" s="1"/>
  <c r="C113" i="17" s="1"/>
  <c r="I112" i="17"/>
  <c r="E114" i="17" l="1"/>
  <c r="D114" i="17" s="1"/>
  <c r="C114" i="17" s="1"/>
  <c r="I113" i="17"/>
  <c r="E115" i="17" l="1"/>
  <c r="D115" i="17" s="1"/>
  <c r="C115" i="17" s="1"/>
  <c r="I114" i="17"/>
  <c r="E116" i="17" l="1"/>
  <c r="D116" i="17" s="1"/>
  <c r="C116" i="17" s="1"/>
  <c r="I115" i="17"/>
  <c r="E117" i="17" l="1"/>
  <c r="D117" i="17" s="1"/>
  <c r="C117" i="17" s="1"/>
  <c r="I116" i="17"/>
  <c r="E118" i="17" l="1"/>
  <c r="D118" i="17" s="1"/>
  <c r="C118" i="17" s="1"/>
  <c r="I117" i="17"/>
  <c r="E119" i="17" l="1"/>
  <c r="D119" i="17" s="1"/>
  <c r="C119" i="17" s="1"/>
  <c r="I118" i="17"/>
  <c r="E120" i="17" l="1"/>
  <c r="D120" i="17" s="1"/>
  <c r="C120" i="17" s="1"/>
  <c r="I119" i="17"/>
  <c r="E121" i="17" l="1"/>
  <c r="D121" i="17" s="1"/>
  <c r="C121" i="17" s="1"/>
  <c r="I120" i="17"/>
  <c r="E122" i="17" l="1"/>
  <c r="D122" i="17" s="1"/>
  <c r="C122" i="17" s="1"/>
  <c r="I121" i="17"/>
  <c r="E123" i="17" l="1"/>
  <c r="D123" i="17" s="1"/>
  <c r="C123" i="17" s="1"/>
  <c r="I122" i="17"/>
  <c r="E124" i="17" l="1"/>
  <c r="D124" i="17" s="1"/>
  <c r="C124" i="17" s="1"/>
  <c r="I123" i="17"/>
  <c r="E125" i="17" l="1"/>
  <c r="D125" i="17" s="1"/>
  <c r="C125" i="17" s="1"/>
  <c r="I124" i="17"/>
  <c r="E126" i="17" l="1"/>
  <c r="D126" i="17" s="1"/>
  <c r="C126" i="17" s="1"/>
  <c r="I125" i="17"/>
  <c r="E127" i="17" l="1"/>
  <c r="D127" i="17" s="1"/>
  <c r="C127" i="17" s="1"/>
  <c r="I126" i="17"/>
  <c r="E128" i="17" l="1"/>
  <c r="D128" i="17" s="1"/>
  <c r="C128" i="17" s="1"/>
  <c r="I127" i="17"/>
  <c r="E129" i="17" l="1"/>
  <c r="D129" i="17" s="1"/>
  <c r="C129" i="17" s="1"/>
  <c r="I128" i="17"/>
  <c r="E130" i="17" l="1"/>
  <c r="D130" i="17" s="1"/>
  <c r="C130" i="17"/>
  <c r="I129" i="17"/>
  <c r="E131" i="17" l="1"/>
  <c r="D131" i="17" s="1"/>
  <c r="C131" i="17"/>
  <c r="I130" i="17"/>
  <c r="E132" i="17" l="1"/>
  <c r="D132" i="17" s="1"/>
  <c r="C132" i="17"/>
  <c r="I131" i="17"/>
  <c r="E133" i="17" l="1"/>
  <c r="D133" i="17" s="1"/>
  <c r="C133" i="17"/>
  <c r="I132" i="17"/>
  <c r="E134" i="17" l="1"/>
  <c r="D134" i="17" s="1"/>
  <c r="C134" i="17"/>
  <c r="I133" i="17"/>
  <c r="E135" i="17" l="1"/>
  <c r="D135" i="17" s="1"/>
  <c r="C135" i="17"/>
  <c r="I134" i="17"/>
  <c r="E136" i="17" l="1"/>
  <c r="D136" i="17" s="1"/>
  <c r="C136" i="17"/>
  <c r="I135" i="17"/>
  <c r="E137" i="17" l="1"/>
  <c r="D137" i="17" s="1"/>
  <c r="C137" i="17"/>
  <c r="I136" i="17"/>
  <c r="E138" i="17" l="1"/>
  <c r="D138" i="17" s="1"/>
  <c r="C138" i="17"/>
  <c r="I137" i="17"/>
  <c r="E139" i="17" l="1"/>
  <c r="D139" i="17" s="1"/>
  <c r="C139" i="17" s="1"/>
  <c r="I138" i="17"/>
  <c r="E140" i="17" l="1"/>
  <c r="D140" i="17" s="1"/>
  <c r="C140" i="17" s="1"/>
  <c r="I139" i="17"/>
  <c r="E141" i="17" l="1"/>
  <c r="D141" i="17" s="1"/>
  <c r="C141" i="17" s="1"/>
  <c r="I140" i="17"/>
  <c r="E142" i="17" l="1"/>
  <c r="D142" i="17" s="1"/>
  <c r="C142" i="17" s="1"/>
  <c r="I141" i="17"/>
  <c r="E143" i="17" l="1"/>
  <c r="D143" i="17" s="1"/>
  <c r="C143" i="17" s="1"/>
  <c r="I142" i="17"/>
  <c r="E144" i="17" l="1"/>
  <c r="D144" i="17" s="1"/>
  <c r="C144" i="17" s="1"/>
  <c r="I143" i="17"/>
  <c r="E145" i="17" l="1"/>
  <c r="D145" i="17" s="1"/>
  <c r="C145" i="17" s="1"/>
  <c r="I144" i="17"/>
  <c r="E146" i="17" l="1"/>
  <c r="D146" i="17" s="1"/>
  <c r="C146" i="17" s="1"/>
  <c r="I145" i="17"/>
  <c r="E147" i="17" l="1"/>
  <c r="D147" i="17" s="1"/>
  <c r="C147" i="17" s="1"/>
  <c r="I146" i="17"/>
  <c r="E148" i="17" l="1"/>
  <c r="D148" i="17" s="1"/>
  <c r="C148" i="17"/>
  <c r="I147" i="17"/>
  <c r="E149" i="17" l="1"/>
  <c r="D149" i="17" s="1"/>
  <c r="C149" i="17"/>
  <c r="I148" i="17"/>
  <c r="E150" i="17" l="1"/>
  <c r="D150" i="17" s="1"/>
  <c r="C150" i="17"/>
  <c r="I149" i="17"/>
  <c r="E151" i="17" l="1"/>
  <c r="I150" i="17"/>
  <c r="D151" i="17" l="1"/>
  <c r="T15" i="17"/>
  <c r="T19" i="17"/>
  <c r="T21" i="17"/>
  <c r="T20" i="17"/>
  <c r="T33" i="17"/>
  <c r="T17" i="17"/>
  <c r="T31" i="17"/>
  <c r="T8" i="17"/>
  <c r="T28" i="17"/>
  <c r="T30" i="17"/>
  <c r="T9" i="17"/>
  <c r="T34" i="17"/>
  <c r="T10" i="17"/>
  <c r="T22" i="17"/>
  <c r="T12" i="17"/>
  <c r="T11" i="17"/>
  <c r="T18" i="17"/>
  <c r="T37" i="17"/>
  <c r="T16" i="17"/>
  <c r="T25" i="17"/>
  <c r="T26" i="17"/>
  <c r="T27" i="17"/>
  <c r="T35" i="17"/>
  <c r="T23" i="17"/>
  <c r="T14" i="17"/>
  <c r="T29" i="17"/>
  <c r="T32" i="17"/>
  <c r="T24" i="17"/>
  <c r="T36" i="17"/>
  <c r="T13" i="17"/>
  <c r="S32" i="17" l="1"/>
  <c r="S24" i="17"/>
  <c r="S23" i="17"/>
  <c r="S21" i="17"/>
  <c r="S13" i="17"/>
  <c r="S28" i="17"/>
  <c r="S15" i="17"/>
  <c r="S34" i="17"/>
  <c r="S27" i="17"/>
  <c r="S14" i="17"/>
  <c r="S26" i="17"/>
  <c r="S33" i="17"/>
  <c r="S8" i="17"/>
  <c r="S18" i="17"/>
  <c r="S10" i="17"/>
  <c r="S37" i="17"/>
  <c r="S11" i="17"/>
  <c r="S12" i="17"/>
  <c r="S36" i="17"/>
  <c r="S22" i="17"/>
  <c r="S31" i="17"/>
  <c r="S16" i="17"/>
  <c r="S17" i="17"/>
  <c r="S9" i="17"/>
  <c r="S19" i="17"/>
  <c r="S25" i="17"/>
  <c r="S35" i="17"/>
  <c r="S30" i="17"/>
  <c r="S20" i="17"/>
  <c r="S29" i="17"/>
  <c r="C151" i="17"/>
  <c r="I151" i="17" l="1"/>
  <c r="R11" i="17"/>
  <c r="R35" i="9" s="1"/>
  <c r="R23" i="17"/>
  <c r="R47" i="9" s="1"/>
  <c r="R20" i="17"/>
  <c r="R44" i="9" s="1"/>
  <c r="R32" i="17"/>
  <c r="R34" i="17"/>
  <c r="R9" i="17"/>
  <c r="R33" i="9" s="1"/>
  <c r="R29" i="17"/>
  <c r="R14" i="17"/>
  <c r="R38" i="9" s="1"/>
  <c r="R22" i="17"/>
  <c r="R46" i="9" s="1"/>
  <c r="R21" i="17"/>
  <c r="R45" i="9" s="1"/>
  <c r="R27" i="17"/>
  <c r="R51" i="9" s="1"/>
  <c r="R18" i="17"/>
  <c r="R42" i="9" s="1"/>
  <c r="R28" i="17"/>
  <c r="R24" i="17"/>
  <c r="R48" i="9" s="1"/>
  <c r="R13" i="17"/>
  <c r="R37" i="9" s="1"/>
  <c r="R17" i="17"/>
  <c r="R41" i="9" s="1"/>
  <c r="R8" i="17"/>
  <c r="R32" i="9" s="1"/>
  <c r="R10" i="17"/>
  <c r="R34" i="9" s="1"/>
  <c r="R12" i="17"/>
  <c r="R36" i="9" s="1"/>
  <c r="R30" i="17"/>
  <c r="R19" i="17"/>
  <c r="R16" i="17"/>
  <c r="R40" i="9" s="1"/>
  <c r="R26" i="17"/>
  <c r="R50" i="9" s="1"/>
  <c r="R35" i="17"/>
  <c r="R36" i="17"/>
  <c r="R37" i="17"/>
  <c r="R31" i="17"/>
  <c r="R25" i="17"/>
  <c r="R49" i="9" s="1"/>
  <c r="R15" i="17"/>
  <c r="R39" i="9" s="1"/>
  <c r="R33" i="17"/>
  <c r="R43" i="9" l="1"/>
  <c r="E63" i="9"/>
  <c r="E65" i="9" s="1"/>
  <c r="X8" i="17"/>
  <c r="X32" i="17"/>
  <c r="X19" i="17"/>
  <c r="X16" i="17"/>
  <c r="X20" i="17"/>
  <c r="X17" i="17"/>
  <c r="X24" i="17"/>
  <c r="X28" i="17"/>
  <c r="X9" i="17"/>
  <c r="X29" i="17"/>
  <c r="X12" i="17"/>
  <c r="X30" i="17"/>
  <c r="X27" i="17"/>
  <c r="X18" i="17"/>
  <c r="X25" i="17"/>
  <c r="X22" i="17"/>
  <c r="X35" i="17"/>
  <c r="X11" i="17"/>
  <c r="X34" i="17"/>
  <c r="X23" i="17"/>
  <c r="X13" i="17"/>
  <c r="X33" i="17"/>
  <c r="X10" i="17"/>
  <c r="X14" i="17"/>
  <c r="X21" i="17"/>
  <c r="X15" i="17"/>
  <c r="X26" i="17"/>
  <c r="X37" i="17"/>
  <c r="X31" i="17"/>
  <c r="X36" i="17"/>
  <c r="E42" i="9"/>
  <c r="E41" i="9"/>
  <c r="D17" i="18"/>
  <c r="AN17" i="18" s="1"/>
  <c r="H17" i="18"/>
  <c r="D8" i="18"/>
  <c r="H8" i="18"/>
  <c r="D9" i="18"/>
  <c r="H9" i="18"/>
  <c r="D10" i="18"/>
  <c r="H10" i="18"/>
  <c r="D11" i="18"/>
  <c r="BB11" i="18" s="1"/>
  <c r="BC11" i="18" s="1"/>
  <c r="H11" i="18"/>
  <c r="D12" i="18"/>
  <c r="H12" i="18"/>
  <c r="D13" i="18"/>
  <c r="AN13" i="18" s="1"/>
  <c r="H13" i="18"/>
  <c r="D14" i="18"/>
  <c r="H14" i="18"/>
  <c r="D15" i="18"/>
  <c r="AN15" i="18" s="1"/>
  <c r="AO15" i="18" s="1"/>
  <c r="H15" i="18"/>
  <c r="D16" i="18"/>
  <c r="H16" i="18"/>
  <c r="H19" i="18"/>
  <c r="BP19" i="18" s="1"/>
  <c r="BQ19" i="18" s="1"/>
  <c r="H23" i="18"/>
  <c r="H20" i="18"/>
  <c r="H18" i="18"/>
  <c r="H21" i="18"/>
  <c r="H24" i="18"/>
  <c r="H22" i="18"/>
  <c r="H25" i="18"/>
  <c r="H26" i="18"/>
  <c r="H28" i="18"/>
  <c r="H27" i="18"/>
  <c r="H29" i="18"/>
  <c r="H30" i="18"/>
  <c r="H31" i="18"/>
  <c r="H32" i="18"/>
  <c r="H33" i="18"/>
  <c r="H35" i="18"/>
  <c r="H34" i="18"/>
  <c r="H37" i="18"/>
  <c r="H36" i="18"/>
  <c r="D18" i="18"/>
  <c r="BP18" i="18" s="1"/>
  <c r="D19" i="18"/>
  <c r="D20" i="18"/>
  <c r="BP20" i="18" s="1"/>
  <c r="BQ20" i="18" s="1"/>
  <c r="D21" i="18"/>
  <c r="D22" i="18"/>
  <c r="AN22" i="18" s="1"/>
  <c r="AO22" i="18" s="1"/>
  <c r="D23" i="18"/>
  <c r="D24" i="18"/>
  <c r="AN24" i="18" s="1"/>
  <c r="AO24" i="18" s="1"/>
  <c r="D25" i="18"/>
  <c r="AN25" i="18" s="1"/>
  <c r="D26" i="18"/>
  <c r="AN26" i="18" s="1"/>
  <c r="AO26" i="18" s="1"/>
  <c r="D27" i="18"/>
  <c r="D28" i="18"/>
  <c r="BB28" i="18" s="1"/>
  <c r="BC28" i="18" s="1"/>
  <c r="D29" i="18"/>
  <c r="D30" i="18"/>
  <c r="BB30" i="18" s="1"/>
  <c r="BC30" i="18" s="1"/>
  <c r="D31" i="18"/>
  <c r="D32" i="18"/>
  <c r="BP32" i="18" s="1"/>
  <c r="BQ32" i="18" s="1"/>
  <c r="D33" i="18"/>
  <c r="BB33" i="18" s="1"/>
  <c r="BC33" i="18" s="1"/>
  <c r="D34" i="18"/>
  <c r="BP34" i="18" s="1"/>
  <c r="BQ34" i="18" s="1"/>
  <c r="D35" i="18"/>
  <c r="D36" i="18"/>
  <c r="AN36" i="18" s="1"/>
  <c r="AO36" i="18" s="1"/>
  <c r="D37" i="18"/>
  <c r="AN8" i="18"/>
  <c r="AO8" i="18" s="1"/>
  <c r="AP8" i="18" s="1"/>
  <c r="AN9" i="18"/>
  <c r="AO9" i="18" s="1"/>
  <c r="AN10" i="18"/>
  <c r="AO10" i="18" s="1"/>
  <c r="AN12" i="18"/>
  <c r="AN18" i="18"/>
  <c r="AO18" i="18" s="1"/>
  <c r="AN29" i="18"/>
  <c r="BB8" i="18"/>
  <c r="BC8" i="18" s="1"/>
  <c r="BB9" i="18"/>
  <c r="BC9" i="18" s="1"/>
  <c r="BB10" i="18"/>
  <c r="BB12" i="18"/>
  <c r="BB13" i="18"/>
  <c r="BB18" i="18"/>
  <c r="BC18" i="18" s="1"/>
  <c r="BP8" i="18"/>
  <c r="BP9" i="18"/>
  <c r="BQ9" i="18" s="1"/>
  <c r="BP10" i="18"/>
  <c r="BQ10" i="18" s="1"/>
  <c r="BP13" i="18"/>
  <c r="BQ13" i="18" s="1"/>
  <c r="Y8" i="18"/>
  <c r="Z8" i="18" s="1"/>
  <c r="BY8" i="18"/>
  <c r="CC8" i="18"/>
  <c r="BP15" i="18"/>
  <c r="BQ15" i="18" s="1"/>
  <c r="BP17" i="18"/>
  <c r="BQ17" i="18" s="1"/>
  <c r="BP25" i="18"/>
  <c r="BQ25" i="18" s="1"/>
  <c r="BP28" i="18"/>
  <c r="BQ28" i="18" s="1"/>
  <c r="BP29" i="18"/>
  <c r="BQ29" i="18" s="1"/>
  <c r="BP26" i="18" l="1"/>
  <c r="BB19" i="18"/>
  <c r="BC19" i="18" s="1"/>
  <c r="BC13" i="18"/>
  <c r="AN30" i="18"/>
  <c r="AO30" i="18" s="1"/>
  <c r="AN19" i="18"/>
  <c r="AO19" i="18" s="1"/>
  <c r="BP21" i="18"/>
  <c r="BQ21" i="18" s="1"/>
  <c r="CC9" i="18"/>
  <c r="CC10" i="18" s="1"/>
  <c r="BP11" i="18"/>
  <c r="BS11" i="18" s="1"/>
  <c r="BU11" i="18" s="1"/>
  <c r="BB26" i="18"/>
  <c r="BC26" i="18" s="1"/>
  <c r="BB17" i="18"/>
  <c r="BC17" i="18" s="1"/>
  <c r="AN11" i="18"/>
  <c r="AO11" i="18" s="1"/>
  <c r="BY9" i="18"/>
  <c r="BY10" i="18" s="1"/>
  <c r="BY11" i="18" s="1"/>
  <c r="CA11" i="18" s="1"/>
  <c r="BB22" i="18"/>
  <c r="BC22" i="18" s="1"/>
  <c r="BB15" i="18"/>
  <c r="BC15" i="18" s="1"/>
  <c r="AN34" i="18"/>
  <c r="AO34" i="18" s="1"/>
  <c r="AN27" i="18"/>
  <c r="AO27" i="18" s="1"/>
  <c r="BP22" i="18"/>
  <c r="BQ22" i="18" s="1"/>
  <c r="BP16" i="18"/>
  <c r="BQ16" i="18" s="1"/>
  <c r="AN14" i="18"/>
  <c r="AO14" i="18" s="1"/>
  <c r="AO12" i="18"/>
  <c r="BB32" i="18"/>
  <c r="BC32" i="18" s="1"/>
  <c r="AN28" i="18"/>
  <c r="AO28" i="18" s="1"/>
  <c r="BP12" i="18"/>
  <c r="BQ12" i="18" s="1"/>
  <c r="BB20" i="18"/>
  <c r="BC20" i="18" s="1"/>
  <c r="BB16" i="18"/>
  <c r="AN32" i="18"/>
  <c r="AO32" i="18" s="1"/>
  <c r="AN20" i="18"/>
  <c r="AO20" i="18" s="1"/>
  <c r="AN16" i="18"/>
  <c r="AO16" i="18" s="1"/>
  <c r="BB27" i="18"/>
  <c r="BC27" i="18" s="1"/>
  <c r="BP24" i="18"/>
  <c r="BQ24" i="18" s="1"/>
  <c r="BB36" i="18"/>
  <c r="BC36" i="18" s="1"/>
  <c r="BP36" i="18"/>
  <c r="BQ36" i="18" s="1"/>
  <c r="BP14" i="18"/>
  <c r="BQ14" i="18" s="1"/>
  <c r="BB34" i="18"/>
  <c r="BC34" i="18" s="1"/>
  <c r="BB24" i="18"/>
  <c r="BC24" i="18" s="1"/>
  <c r="BB14" i="18"/>
  <c r="BC14" i="18" s="1"/>
  <c r="BB37" i="18"/>
  <c r="BC37" i="18" s="1"/>
  <c r="BP33" i="18"/>
  <c r="BQ33" i="18" s="1"/>
  <c r="CB9" i="18"/>
  <c r="BB29" i="18"/>
  <c r="BC29" i="18" s="1"/>
  <c r="CB8" i="18"/>
  <c r="BP37" i="18"/>
  <c r="BQ37" i="18" s="1"/>
  <c r="BB21" i="18"/>
  <c r="BC21" i="18" s="1"/>
  <c r="AN21" i="18"/>
  <c r="CA8" i="18"/>
  <c r="BB25" i="18"/>
  <c r="BC25" i="18" s="1"/>
  <c r="AN33" i="18"/>
  <c r="AN35" i="18"/>
  <c r="AO35" i="18" s="1"/>
  <c r="BP35" i="18"/>
  <c r="BQ35" i="18" s="1"/>
  <c r="BP23" i="18"/>
  <c r="BQ23" i="18" s="1"/>
  <c r="AN31" i="18"/>
  <c r="AO31" i="18" s="1"/>
  <c r="BP31" i="18"/>
  <c r="BQ31" i="18" s="1"/>
  <c r="BP27" i="18"/>
  <c r="BQ27" i="18" s="1"/>
  <c r="AN23" i="18"/>
  <c r="AO23" i="18" s="1"/>
  <c r="CB10" i="18"/>
  <c r="CF8" i="18"/>
  <c r="CG8" i="18" s="1"/>
  <c r="Y9" i="18"/>
  <c r="AA8" i="18"/>
  <c r="AB8" i="18" s="1"/>
  <c r="AC8" i="18" s="1"/>
  <c r="BB23" i="18"/>
  <c r="BC23" i="18" s="1"/>
  <c r="CH8" i="18"/>
  <c r="CE8" i="18"/>
  <c r="BB35" i="18"/>
  <c r="BC35" i="18" s="1"/>
  <c r="BB31" i="18"/>
  <c r="BC31" i="18" s="1"/>
  <c r="AN37" i="18"/>
  <c r="BP30" i="18"/>
  <c r="BQ30" i="18" s="1"/>
  <c r="BV11" i="18"/>
  <c r="AQ8" i="18"/>
  <c r="AT8" i="18" s="1"/>
  <c r="AO37" i="18"/>
  <c r="AO21" i="18"/>
  <c r="AO25" i="18"/>
  <c r="BQ26" i="18"/>
  <c r="BQ18" i="18"/>
  <c r="BS10" i="18"/>
  <c r="BQ8" i="18"/>
  <c r="BS8" i="18"/>
  <c r="BC10" i="18"/>
  <c r="AO29" i="18"/>
  <c r="AO13" i="18"/>
  <c r="BS9" i="18"/>
  <c r="BD8" i="18"/>
  <c r="BE8" i="18" s="1"/>
  <c r="AO33" i="18"/>
  <c r="AO17" i="18"/>
  <c r="BC16" i="18"/>
  <c r="BC12" i="18"/>
  <c r="CA9" i="18" l="1"/>
  <c r="BS12" i="18"/>
  <c r="BT12" i="18" s="1"/>
  <c r="BQ11" i="18"/>
  <c r="CE9" i="18"/>
  <c r="CF9" i="18"/>
  <c r="CG9" i="18" s="1"/>
  <c r="BY12" i="18"/>
  <c r="BT11" i="18"/>
  <c r="CB11" i="18"/>
  <c r="CA10" i="18"/>
  <c r="AS8" i="18"/>
  <c r="CH9" i="18"/>
  <c r="Z9" i="18"/>
  <c r="AA9" i="18"/>
  <c r="Y10" i="18"/>
  <c r="CE10" i="18"/>
  <c r="CC11" i="18"/>
  <c r="CF10" i="18"/>
  <c r="CH10" i="18" s="1"/>
  <c r="CA12" i="18"/>
  <c r="CB12" i="18"/>
  <c r="BY13" i="18"/>
  <c r="BW11" i="18"/>
  <c r="BX11" i="18" s="1"/>
  <c r="BV12" i="18"/>
  <c r="BU12" i="18"/>
  <c r="AU8" i="18"/>
  <c r="AV8" i="18" s="1"/>
  <c r="CI8" i="18" s="1"/>
  <c r="N30" i="17" s="1"/>
  <c r="O30" i="17" s="1"/>
  <c r="AR8" i="18"/>
  <c r="BF8" i="18"/>
  <c r="BG8" i="18"/>
  <c r="BH8" i="18"/>
  <c r="BT9" i="18"/>
  <c r="BU9" i="18"/>
  <c r="BV9" i="18"/>
  <c r="BT10" i="18"/>
  <c r="BU10" i="18"/>
  <c r="BV10" i="18"/>
  <c r="BT8" i="18"/>
  <c r="BV8" i="18"/>
  <c r="BU8" i="18"/>
  <c r="AP9" i="18"/>
  <c r="AQ9" i="18" s="1"/>
  <c r="BR8" i="18"/>
  <c r="BI8" i="18" l="1"/>
  <c r="BJ8" i="18" s="1"/>
  <c r="N24" i="17"/>
  <c r="O24" i="17" s="1"/>
  <c r="N26" i="17"/>
  <c r="O26" i="17" s="1"/>
  <c r="CG10" i="18"/>
  <c r="N19" i="17"/>
  <c r="O19" i="17" s="1"/>
  <c r="N23" i="17"/>
  <c r="O23" i="17" s="1"/>
  <c r="N28" i="17"/>
  <c r="O28" i="17" s="1"/>
  <c r="CB13" i="18"/>
  <c r="BY14" i="18"/>
  <c r="CA13" i="18"/>
  <c r="CC12" i="18"/>
  <c r="CE11" i="18"/>
  <c r="CF11" i="18"/>
  <c r="CG11" i="18" s="1"/>
  <c r="Z10" i="18"/>
  <c r="Y11" i="18"/>
  <c r="AA10" i="18"/>
  <c r="N27" i="17"/>
  <c r="O27" i="17" s="1"/>
  <c r="N25" i="17"/>
  <c r="O25" i="17" s="1"/>
  <c r="N29" i="17"/>
  <c r="O29" i="17" s="1"/>
  <c r="BR11" i="18"/>
  <c r="N20" i="17"/>
  <c r="O20" i="17" s="1"/>
  <c r="N22" i="17"/>
  <c r="O22" i="17" s="1"/>
  <c r="N21" i="17"/>
  <c r="O21" i="17" s="1"/>
  <c r="AB9" i="18"/>
  <c r="AC9" i="18" s="1"/>
  <c r="BR13" i="18"/>
  <c r="BS13" i="18" s="1"/>
  <c r="BW12" i="18"/>
  <c r="BX12" i="18" s="1"/>
  <c r="BR10" i="18"/>
  <c r="BR9" i="18"/>
  <c r="BU13" i="18"/>
  <c r="BT13" i="18"/>
  <c r="BV13" i="18"/>
  <c r="AR9" i="18"/>
  <c r="AS9" i="18"/>
  <c r="AT9" i="18"/>
  <c r="BR12" i="18"/>
  <c r="BW8" i="18"/>
  <c r="BX8" i="18" s="1"/>
  <c r="BD9" i="18"/>
  <c r="BE9" i="18" s="1"/>
  <c r="BW10" i="18"/>
  <c r="BX10" i="18" s="1"/>
  <c r="BW9" i="18"/>
  <c r="BX9" i="18" s="1"/>
  <c r="AB10" i="18" l="1"/>
  <c r="AC10" i="18" s="1"/>
  <c r="Y12" i="18"/>
  <c r="AA11" i="18"/>
  <c r="Z11" i="18"/>
  <c r="BY15" i="18"/>
  <c r="CA14" i="18"/>
  <c r="CB14" i="18"/>
  <c r="CH11" i="18"/>
  <c r="CF12" i="18"/>
  <c r="CH12" i="18" s="1"/>
  <c r="CC13" i="18"/>
  <c r="CE12" i="18"/>
  <c r="CG12" i="18"/>
  <c r="CI9" i="18"/>
  <c r="BW13" i="18"/>
  <c r="BX13" i="18" s="1"/>
  <c r="AU9" i="18"/>
  <c r="AV9" i="18" s="1"/>
  <c r="BR14" i="18"/>
  <c r="BS14" i="18" s="1"/>
  <c r="BG9" i="18"/>
  <c r="BH9" i="18"/>
  <c r="BF9" i="18"/>
  <c r="AP10" i="18"/>
  <c r="AQ10" i="18" s="1"/>
  <c r="AB11" i="18" l="1"/>
  <c r="AC11" i="18" s="1"/>
  <c r="N37" i="17"/>
  <c r="O37" i="17" s="1"/>
  <c r="N35" i="17"/>
  <c r="O35" i="17" s="1"/>
  <c r="N38" i="17"/>
  <c r="O38" i="17" s="1"/>
  <c r="N36" i="17"/>
  <c r="O36" i="17" s="1"/>
  <c r="N41" i="17"/>
  <c r="O41" i="17" s="1"/>
  <c r="N31" i="17"/>
  <c r="N32" i="17"/>
  <c r="O32" i="17" s="1"/>
  <c r="N42" i="17"/>
  <c r="O42" i="17" s="1"/>
  <c r="N33" i="17"/>
  <c r="O33" i="17" s="1"/>
  <c r="N40" i="17"/>
  <c r="O40" i="17" s="1"/>
  <c r="N34" i="17"/>
  <c r="O34" i="17" s="1"/>
  <c r="N39" i="17"/>
  <c r="O39" i="17" s="1"/>
  <c r="CE13" i="18"/>
  <c r="CC14" i="18"/>
  <c r="CF13" i="18"/>
  <c r="CH13" i="18" s="1"/>
  <c r="AA12" i="18"/>
  <c r="Z12" i="18"/>
  <c r="Y13" i="18"/>
  <c r="CA15" i="18"/>
  <c r="BY16" i="18"/>
  <c r="CB15" i="18"/>
  <c r="BD10" i="18"/>
  <c r="BE10" i="18" s="1"/>
  <c r="BT14" i="18"/>
  <c r="BV14" i="18"/>
  <c r="BU14" i="18"/>
  <c r="AS10" i="18"/>
  <c r="AT10" i="18"/>
  <c r="AR10" i="18"/>
  <c r="BI9" i="18"/>
  <c r="BJ9" i="18" s="1"/>
  <c r="AB12" i="18" l="1"/>
  <c r="AC12" i="18" s="1"/>
  <c r="CG13" i="18"/>
  <c r="BY17" i="18"/>
  <c r="CA16" i="18"/>
  <c r="CB16" i="18"/>
  <c r="CC15" i="18"/>
  <c r="CE14" i="18"/>
  <c r="CF14" i="18"/>
  <c r="CH14" i="18" s="1"/>
  <c r="O31" i="17"/>
  <c r="Y14" i="18"/>
  <c r="AA13" i="18"/>
  <c r="Z13" i="18"/>
  <c r="AU10" i="18"/>
  <c r="AV10" i="18" s="1"/>
  <c r="CI10" i="18" s="1"/>
  <c r="BW14" i="18"/>
  <c r="BX14" i="18" s="1"/>
  <c r="AP11" i="18"/>
  <c r="AQ11" i="18" s="1"/>
  <c r="BR15" i="18"/>
  <c r="BS15" i="18" s="1"/>
  <c r="BH10" i="18"/>
  <c r="BF10" i="18"/>
  <c r="BG10" i="18"/>
  <c r="AB13" i="18" l="1"/>
  <c r="AC13" i="18" s="1"/>
  <c r="CG14" i="18"/>
  <c r="AA14" i="18"/>
  <c r="Z14" i="18"/>
  <c r="Y15" i="18"/>
  <c r="N48" i="17"/>
  <c r="O48" i="17" s="1"/>
  <c r="N50" i="17"/>
  <c r="O50" i="17" s="1"/>
  <c r="N44" i="17"/>
  <c r="O44" i="17" s="1"/>
  <c r="N51" i="17"/>
  <c r="O51" i="17" s="1"/>
  <c r="N45" i="17"/>
  <c r="O45" i="17" s="1"/>
  <c r="N47" i="17"/>
  <c r="O47" i="17" s="1"/>
  <c r="N54" i="17"/>
  <c r="O54" i="17" s="1"/>
  <c r="N53" i="17"/>
  <c r="O53" i="17" s="1"/>
  <c r="N46" i="17"/>
  <c r="O46" i="17" s="1"/>
  <c r="N49" i="17"/>
  <c r="O49" i="17" s="1"/>
  <c r="N52" i="17"/>
  <c r="O52" i="17" s="1"/>
  <c r="N43" i="17"/>
  <c r="CF15" i="18"/>
  <c r="CG15" i="18" s="1"/>
  <c r="CC16" i="18"/>
  <c r="CE15" i="18"/>
  <c r="BY18" i="18"/>
  <c r="CA17" i="18"/>
  <c r="CB17" i="18"/>
  <c r="BD11" i="18"/>
  <c r="BE11" i="18" s="1"/>
  <c r="BT15" i="18"/>
  <c r="BV15" i="18"/>
  <c r="BU15" i="18"/>
  <c r="AT11" i="18"/>
  <c r="AS11" i="18"/>
  <c r="AR11" i="18"/>
  <c r="BI10" i="18"/>
  <c r="BJ10" i="18" s="1"/>
  <c r="CH15" i="18" l="1"/>
  <c r="AB14" i="18"/>
  <c r="AC14" i="18" s="1"/>
  <c r="CA18" i="18"/>
  <c r="CB18" i="18"/>
  <c r="BY19" i="18"/>
  <c r="O43" i="17"/>
  <c r="AA15" i="18"/>
  <c r="Z15" i="18"/>
  <c r="Y16" i="18"/>
  <c r="CE16" i="18"/>
  <c r="CC17" i="18"/>
  <c r="CF16" i="18"/>
  <c r="CH16" i="18" s="1"/>
  <c r="AU11" i="18"/>
  <c r="AV11" i="18" s="1"/>
  <c r="CI11" i="18" s="1"/>
  <c r="AP12" i="18"/>
  <c r="AQ12" i="18" s="1"/>
  <c r="BW15" i="18"/>
  <c r="BX15" i="18" s="1"/>
  <c r="BH11" i="18"/>
  <c r="BG11" i="18"/>
  <c r="BF11" i="18"/>
  <c r="BR16" i="18"/>
  <c r="BS16" i="18" s="1"/>
  <c r="CA19" i="18" l="1"/>
  <c r="CB19" i="18"/>
  <c r="BY20" i="18"/>
  <c r="CG16" i="18"/>
  <c r="AA16" i="18"/>
  <c r="Y17" i="18"/>
  <c r="Z16" i="18"/>
  <c r="CC18" i="18"/>
  <c r="CF17" i="18"/>
  <c r="CH17" i="18" s="1"/>
  <c r="CE17" i="18"/>
  <c r="N57" i="17"/>
  <c r="O57" i="17" s="1"/>
  <c r="N61" i="17"/>
  <c r="O61" i="17" s="1"/>
  <c r="N66" i="17"/>
  <c r="O66" i="17" s="1"/>
  <c r="N56" i="17"/>
  <c r="O56" i="17" s="1"/>
  <c r="N55" i="17"/>
  <c r="N60" i="17"/>
  <c r="O60" i="17" s="1"/>
  <c r="N59" i="17"/>
  <c r="O59" i="17" s="1"/>
  <c r="N65" i="17"/>
  <c r="O65" i="17" s="1"/>
  <c r="N62" i="17"/>
  <c r="O62" i="17" s="1"/>
  <c r="N64" i="17"/>
  <c r="O64" i="17" s="1"/>
  <c r="N58" i="17"/>
  <c r="O58" i="17" s="1"/>
  <c r="N63" i="17"/>
  <c r="O63" i="17" s="1"/>
  <c r="AB15" i="18"/>
  <c r="AC15" i="18" s="1"/>
  <c r="BD12" i="18"/>
  <c r="BE12" i="18" s="1"/>
  <c r="AT12" i="18"/>
  <c r="AS12" i="18"/>
  <c r="AR12" i="18"/>
  <c r="BT16" i="18"/>
  <c r="BV16" i="18"/>
  <c r="BU16" i="18"/>
  <c r="BI11" i="18"/>
  <c r="BJ11" i="18" s="1"/>
  <c r="AB16" i="18" l="1"/>
  <c r="AC16" i="18" s="1"/>
  <c r="CG17" i="18"/>
  <c r="BY21" i="18"/>
  <c r="CA20" i="18"/>
  <c r="CB20" i="18"/>
  <c r="Y18" i="18"/>
  <c r="AA17" i="18"/>
  <c r="Z17" i="18"/>
  <c r="O55" i="17"/>
  <c r="CF18" i="18"/>
  <c r="CC19" i="18"/>
  <c r="CG18" i="18"/>
  <c r="CE18" i="18"/>
  <c r="CH18" i="18"/>
  <c r="BW16" i="18"/>
  <c r="BX16" i="18" s="1"/>
  <c r="AU12" i="18"/>
  <c r="AV12" i="18" s="1"/>
  <c r="CI12" i="18" s="1"/>
  <c r="BF12" i="18"/>
  <c r="BH12" i="18"/>
  <c r="BG12" i="18"/>
  <c r="BR17" i="18"/>
  <c r="BS17" i="18" s="1"/>
  <c r="AP13" i="18"/>
  <c r="AQ13" i="18" s="1"/>
  <c r="CC20" i="18" l="1"/>
  <c r="CE19" i="18"/>
  <c r="CF19" i="18"/>
  <c r="CH19" i="18" s="1"/>
  <c r="AB17" i="18"/>
  <c r="AC17" i="18" s="1"/>
  <c r="BY22" i="18"/>
  <c r="CA21" i="18"/>
  <c r="CB21" i="18"/>
  <c r="N74" i="17"/>
  <c r="O74" i="17" s="1"/>
  <c r="N72" i="17"/>
  <c r="O72" i="17" s="1"/>
  <c r="N67" i="17"/>
  <c r="N68" i="17"/>
  <c r="O68" i="17" s="1"/>
  <c r="N78" i="17"/>
  <c r="O78" i="17" s="1"/>
  <c r="N70" i="17"/>
  <c r="O70" i="17" s="1"/>
  <c r="N77" i="17"/>
  <c r="O77" i="17" s="1"/>
  <c r="N73" i="17"/>
  <c r="O73" i="17" s="1"/>
  <c r="N69" i="17"/>
  <c r="O69" i="17" s="1"/>
  <c r="N76" i="17"/>
  <c r="O76" i="17" s="1"/>
  <c r="N71" i="17"/>
  <c r="O71" i="17" s="1"/>
  <c r="N75" i="17"/>
  <c r="O75" i="17" s="1"/>
  <c r="AA18" i="18"/>
  <c r="Y19" i="18"/>
  <c r="Z18" i="18"/>
  <c r="AR13" i="18"/>
  <c r="AS13" i="18"/>
  <c r="AT13" i="18"/>
  <c r="BI12" i="18"/>
  <c r="BJ12" i="18" s="1"/>
  <c r="BT17" i="18"/>
  <c r="BU17" i="18"/>
  <c r="BV17" i="18"/>
  <c r="BD13" i="18"/>
  <c r="BE13" i="18" s="1"/>
  <c r="CG19" i="18" l="1"/>
  <c r="O67" i="17"/>
  <c r="Y20" i="18"/>
  <c r="Z19" i="18"/>
  <c r="AA19" i="18"/>
  <c r="CB22" i="18"/>
  <c r="CA22" i="18"/>
  <c r="BY23" i="18"/>
  <c r="AB18" i="18"/>
  <c r="AC18" i="18" s="1"/>
  <c r="CC21" i="18"/>
  <c r="CF20" i="18"/>
  <c r="CH20" i="18" s="1"/>
  <c r="CG20" i="18"/>
  <c r="CE20" i="18"/>
  <c r="BW17" i="18"/>
  <c r="BX17" i="18" s="1"/>
  <c r="AU13" i="18"/>
  <c r="AV13" i="18" s="1"/>
  <c r="CI13" i="18" s="1"/>
  <c r="BG13" i="18"/>
  <c r="BH13" i="18"/>
  <c r="BF13" i="18"/>
  <c r="BR18" i="18"/>
  <c r="BS18" i="18" s="1"/>
  <c r="AP14" i="18"/>
  <c r="AQ14" i="18" s="1"/>
  <c r="AB19" i="18" l="1"/>
  <c r="AC19" i="18" s="1"/>
  <c r="N81" i="17"/>
  <c r="O81" i="17" s="1"/>
  <c r="N80" i="17"/>
  <c r="O80" i="17" s="1"/>
  <c r="N79" i="17"/>
  <c r="N86" i="17"/>
  <c r="O86" i="17" s="1"/>
  <c r="N85" i="17"/>
  <c r="O85" i="17" s="1"/>
  <c r="N87" i="17"/>
  <c r="O87" i="17" s="1"/>
  <c r="N90" i="17"/>
  <c r="O90" i="17" s="1"/>
  <c r="N88" i="17"/>
  <c r="O88" i="17" s="1"/>
  <c r="N89" i="17"/>
  <c r="O89" i="17" s="1"/>
  <c r="N82" i="17"/>
  <c r="O82" i="17" s="1"/>
  <c r="N84" i="17"/>
  <c r="O84" i="17" s="1"/>
  <c r="N83" i="17"/>
  <c r="O83" i="17" s="1"/>
  <c r="CA23" i="18"/>
  <c r="CB23" i="18"/>
  <c r="BY24" i="18"/>
  <c r="CF21" i="18"/>
  <c r="CH21" i="18" s="1"/>
  <c r="CE21" i="18"/>
  <c r="CC22" i="18"/>
  <c r="CG21" i="18"/>
  <c r="AA20" i="18"/>
  <c r="Z20" i="18"/>
  <c r="Y21" i="18"/>
  <c r="BI13" i="18"/>
  <c r="BJ13" i="18" s="1"/>
  <c r="AS14" i="18"/>
  <c r="AT14" i="18"/>
  <c r="AR14" i="18"/>
  <c r="BT18" i="18"/>
  <c r="BV18" i="18"/>
  <c r="BU18" i="18"/>
  <c r="BD14" i="18"/>
  <c r="BE14" i="18" s="1"/>
  <c r="AB20" i="18" l="1"/>
  <c r="AC20" i="18" s="1"/>
  <c r="O79" i="17"/>
  <c r="Y22" i="18"/>
  <c r="Z21" i="18"/>
  <c r="AA21" i="18"/>
  <c r="CF22" i="18"/>
  <c r="CG22" i="18" s="1"/>
  <c r="CE22" i="18"/>
  <c r="CC23" i="18"/>
  <c r="BY25" i="18"/>
  <c r="CA24" i="18"/>
  <c r="CB24" i="18"/>
  <c r="AU14" i="18"/>
  <c r="AV14" i="18" s="1"/>
  <c r="CI14" i="18" s="1"/>
  <c r="AP15" i="18"/>
  <c r="AQ15" i="18" s="1"/>
  <c r="BH14" i="18"/>
  <c r="BF14" i="18"/>
  <c r="BG14" i="18"/>
  <c r="BR19" i="18"/>
  <c r="BS19" i="18" s="1"/>
  <c r="BW18" i="18"/>
  <c r="BX18" i="18" s="1"/>
  <c r="CH22" i="18" l="1"/>
  <c r="BY26" i="18"/>
  <c r="CB25" i="18"/>
  <c r="CA25" i="18"/>
  <c r="AA22" i="18"/>
  <c r="Z22" i="18"/>
  <c r="Y23" i="18"/>
  <c r="N101" i="17"/>
  <c r="O101" i="17" s="1"/>
  <c r="N96" i="17"/>
  <c r="O96" i="17" s="1"/>
  <c r="N91" i="17"/>
  <c r="O91" i="17" s="1"/>
  <c r="N92" i="17"/>
  <c r="O92" i="17" s="1"/>
  <c r="N94" i="17"/>
  <c r="O94" i="17" s="1"/>
  <c r="N99" i="17"/>
  <c r="O99" i="17" s="1"/>
  <c r="N93" i="17"/>
  <c r="O93" i="17" s="1"/>
  <c r="N95" i="17"/>
  <c r="O95" i="17" s="1"/>
  <c r="N98" i="17"/>
  <c r="O98" i="17" s="1"/>
  <c r="N102" i="17"/>
  <c r="O102" i="17" s="1"/>
  <c r="N97" i="17"/>
  <c r="O97" i="17" s="1"/>
  <c r="N100" i="17"/>
  <c r="O100" i="17" s="1"/>
  <c r="CC24" i="18"/>
  <c r="CE23" i="18"/>
  <c r="CF23" i="18"/>
  <c r="CH23" i="18" s="1"/>
  <c r="AB21" i="18"/>
  <c r="AC21" i="18" s="1"/>
  <c r="BD15" i="18"/>
  <c r="BE15" i="18" s="1"/>
  <c r="BT19" i="18"/>
  <c r="BU19" i="18"/>
  <c r="BV19" i="18"/>
  <c r="BI14" i="18"/>
  <c r="BJ14" i="18" s="1"/>
  <c r="AT15" i="18"/>
  <c r="AS15" i="18"/>
  <c r="AR15" i="18"/>
  <c r="AB22" i="18" l="1"/>
  <c r="AC22" i="18" s="1"/>
  <c r="CG23" i="18"/>
  <c r="Z23" i="18"/>
  <c r="Y24" i="18"/>
  <c r="AA23" i="18"/>
  <c r="CF24" i="18"/>
  <c r="CH24" i="18" s="1"/>
  <c r="CC25" i="18"/>
  <c r="CE24" i="18"/>
  <c r="CA26" i="18"/>
  <c r="CB26" i="18"/>
  <c r="BY27" i="18"/>
  <c r="BW19" i="18"/>
  <c r="BX19" i="18" s="1"/>
  <c r="AP16" i="18"/>
  <c r="AQ16" i="18" s="1"/>
  <c r="BH15" i="18"/>
  <c r="BG15" i="18"/>
  <c r="BF15" i="18"/>
  <c r="AU15" i="18"/>
  <c r="AV15" i="18" s="1"/>
  <c r="CI15" i="18" s="1"/>
  <c r="BR20" i="18"/>
  <c r="BS20" i="18" s="1"/>
  <c r="N106" i="17" l="1"/>
  <c r="O106" i="17" s="1"/>
  <c r="N105" i="17"/>
  <c r="O105" i="17" s="1"/>
  <c r="N111" i="17"/>
  <c r="O111" i="17" s="1"/>
  <c r="N108" i="17"/>
  <c r="O108" i="17" s="1"/>
  <c r="N114" i="17"/>
  <c r="O114" i="17" s="1"/>
  <c r="N112" i="17"/>
  <c r="O112" i="17" s="1"/>
  <c r="N110" i="17"/>
  <c r="O110" i="17" s="1"/>
  <c r="N103" i="17"/>
  <c r="O103" i="17" s="1"/>
  <c r="N109" i="17"/>
  <c r="O109" i="17" s="1"/>
  <c r="N107" i="17"/>
  <c r="O107" i="17" s="1"/>
  <c r="N104" i="17"/>
  <c r="O104" i="17" s="1"/>
  <c r="N113" i="17"/>
  <c r="O113" i="17" s="1"/>
  <c r="AB23" i="18"/>
  <c r="AC23" i="18" s="1"/>
  <c r="CC26" i="18"/>
  <c r="CE25" i="18"/>
  <c r="CF25" i="18"/>
  <c r="CG25" i="18" s="1"/>
  <c r="CA27" i="18"/>
  <c r="BY28" i="18"/>
  <c r="CB27" i="18"/>
  <c r="CG24" i="18"/>
  <c r="Y25" i="18"/>
  <c r="AA24" i="18"/>
  <c r="Z24" i="18"/>
  <c r="BD16" i="18"/>
  <c r="BE16" i="18" s="1"/>
  <c r="BT20" i="18"/>
  <c r="BV20" i="18"/>
  <c r="BU20" i="18"/>
  <c r="AT16" i="18"/>
  <c r="AS16" i="18"/>
  <c r="AR16" i="18"/>
  <c r="BI15" i="18"/>
  <c r="BJ15" i="18" s="1"/>
  <c r="AB24" i="18" l="1"/>
  <c r="AC24" i="18" s="1"/>
  <c r="CB28" i="18"/>
  <c r="CA28" i="18"/>
  <c r="BY29" i="18"/>
  <c r="CE26" i="18"/>
  <c r="CF26" i="18"/>
  <c r="CG26" i="18" s="1"/>
  <c r="CC27" i="18"/>
  <c r="Y26" i="18"/>
  <c r="Z25" i="18"/>
  <c r="AA25" i="18"/>
  <c r="CH25" i="18"/>
  <c r="BR21" i="18"/>
  <c r="BS21" i="18" s="1"/>
  <c r="AU16" i="18"/>
  <c r="AV16" i="18" s="1"/>
  <c r="CI16" i="18" s="1"/>
  <c r="BH16" i="18"/>
  <c r="BG16" i="18"/>
  <c r="BF16" i="18"/>
  <c r="AP17" i="18"/>
  <c r="AQ17" i="18" s="1"/>
  <c r="BW20" i="18"/>
  <c r="BX20" i="18" s="1"/>
  <c r="CH26" i="18" l="1"/>
  <c r="N122" i="17"/>
  <c r="O122" i="17" s="1"/>
  <c r="N118" i="17"/>
  <c r="O118" i="17" s="1"/>
  <c r="N120" i="17"/>
  <c r="O120" i="17" s="1"/>
  <c r="N117" i="17"/>
  <c r="O117" i="17" s="1"/>
  <c r="N123" i="17"/>
  <c r="O123" i="17" s="1"/>
  <c r="N124" i="17"/>
  <c r="O124" i="17" s="1"/>
  <c r="N126" i="17"/>
  <c r="O126" i="17" s="1"/>
  <c r="N121" i="17"/>
  <c r="O121" i="17" s="1"/>
  <c r="N116" i="17"/>
  <c r="O116" i="17" s="1"/>
  <c r="N115" i="17"/>
  <c r="O115" i="17" s="1"/>
  <c r="N125" i="17"/>
  <c r="O125" i="17" s="1"/>
  <c r="N119" i="17"/>
  <c r="O119" i="17" s="1"/>
  <c r="AB25" i="18"/>
  <c r="AC25" i="18" s="1"/>
  <c r="CA29" i="18"/>
  <c r="CB29" i="18"/>
  <c r="BY30" i="18"/>
  <c r="AA26" i="18"/>
  <c r="Z26" i="18"/>
  <c r="Y27" i="18"/>
  <c r="CC28" i="18"/>
  <c r="CF27" i="18"/>
  <c r="CH27" i="18" s="1"/>
  <c r="CE27" i="18"/>
  <c r="BI16" i="18"/>
  <c r="BJ16" i="18" s="1"/>
  <c r="BT21" i="18"/>
  <c r="BV21" i="18"/>
  <c r="BU21" i="18"/>
  <c r="BD17" i="18"/>
  <c r="BE17" i="18" s="1"/>
  <c r="AR17" i="18"/>
  <c r="AS17" i="18"/>
  <c r="AT17" i="18"/>
  <c r="AB26" i="18" l="1"/>
  <c r="AC26" i="18" s="1"/>
  <c r="CG27" i="18"/>
  <c r="CE28" i="18"/>
  <c r="CF28" i="18"/>
  <c r="CH28" i="18" s="1"/>
  <c r="CC29" i="18"/>
  <c r="CA30" i="18"/>
  <c r="CB30" i="18"/>
  <c r="BY31" i="18"/>
  <c r="Z27" i="18"/>
  <c r="Y28" i="18"/>
  <c r="AA27" i="18"/>
  <c r="AP18" i="18"/>
  <c r="AQ18" i="18" s="1"/>
  <c r="AU17" i="18"/>
  <c r="AV17" i="18" s="1"/>
  <c r="CI17" i="18" s="1"/>
  <c r="BW21" i="18"/>
  <c r="BX21" i="18" s="1"/>
  <c r="BH17" i="18"/>
  <c r="BG17" i="18"/>
  <c r="BF17" i="18"/>
  <c r="BR22" i="18"/>
  <c r="BS22" i="18" s="1"/>
  <c r="CG28" i="18" l="1"/>
  <c r="N134" i="17"/>
  <c r="O134" i="17" s="1"/>
  <c r="N138" i="17"/>
  <c r="O138" i="17" s="1"/>
  <c r="N136" i="17"/>
  <c r="O136" i="17" s="1"/>
  <c r="N129" i="17"/>
  <c r="O129" i="17" s="1"/>
  <c r="N130" i="17"/>
  <c r="O130" i="17" s="1"/>
  <c r="N132" i="17"/>
  <c r="O132" i="17" s="1"/>
  <c r="N135" i="17"/>
  <c r="O135" i="17" s="1"/>
  <c r="N137" i="17"/>
  <c r="O137" i="17" s="1"/>
  <c r="N133" i="17"/>
  <c r="O133" i="17" s="1"/>
  <c r="N131" i="17"/>
  <c r="O131" i="17" s="1"/>
  <c r="N128" i="17"/>
  <c r="O128" i="17" s="1"/>
  <c r="N127" i="17"/>
  <c r="O127" i="17" s="1"/>
  <c r="AB27" i="18"/>
  <c r="AC27" i="18" s="1"/>
  <c r="AA28" i="18"/>
  <c r="Y29" i="18"/>
  <c r="Z28" i="18"/>
  <c r="CB31" i="18"/>
  <c r="CA31" i="18"/>
  <c r="BY32" i="18"/>
  <c r="CF29" i="18"/>
  <c r="CH29" i="18" s="1"/>
  <c r="CC30" i="18"/>
  <c r="CE29" i="18"/>
  <c r="BT22" i="18"/>
  <c r="BV22" i="18"/>
  <c r="BU22" i="18"/>
  <c r="BI17" i="18"/>
  <c r="BJ17" i="18" s="1"/>
  <c r="AS18" i="18"/>
  <c r="AT18" i="18"/>
  <c r="AR18" i="18"/>
  <c r="BD18" i="18"/>
  <c r="BE18" i="18" s="1"/>
  <c r="CG29" i="18" l="1"/>
  <c r="AB28" i="18"/>
  <c r="AC28" i="18" s="1"/>
  <c r="BY33" i="18"/>
  <c r="CA32" i="18"/>
  <c r="CB32" i="18"/>
  <c r="AA29" i="18"/>
  <c r="Z29" i="18"/>
  <c r="Y30" i="18"/>
  <c r="CF30" i="18"/>
  <c r="CG30" i="18" s="1"/>
  <c r="CE30" i="18"/>
  <c r="CC31" i="18"/>
  <c r="AU18" i="18"/>
  <c r="AV18" i="18" s="1"/>
  <c r="CI18" i="18" s="1"/>
  <c r="AP19" i="18"/>
  <c r="AQ19" i="18" s="1"/>
  <c r="BW22" i="18"/>
  <c r="BX22" i="18" s="1"/>
  <c r="BF18" i="18"/>
  <c r="BH18" i="18"/>
  <c r="BG18" i="18"/>
  <c r="BR23" i="18"/>
  <c r="BS23" i="18" s="1"/>
  <c r="CH30" i="18" l="1"/>
  <c r="AA30" i="18"/>
  <c r="Z30" i="18"/>
  <c r="Y31" i="18"/>
  <c r="CA33" i="18"/>
  <c r="CB33" i="18"/>
  <c r="BY34" i="18"/>
  <c r="AB29" i="18"/>
  <c r="AC29" i="18" s="1"/>
  <c r="N144" i="17"/>
  <c r="O144" i="17" s="1"/>
  <c r="N145" i="17"/>
  <c r="O145" i="17" s="1"/>
  <c r="N142" i="17"/>
  <c r="O142" i="17" s="1"/>
  <c r="N149" i="17"/>
  <c r="O149" i="17" s="1"/>
  <c r="N150" i="17"/>
  <c r="O150" i="17" s="1"/>
  <c r="N139" i="17"/>
  <c r="O139" i="17" s="1"/>
  <c r="N141" i="17"/>
  <c r="O141" i="17" s="1"/>
  <c r="N147" i="17"/>
  <c r="O147" i="17" s="1"/>
  <c r="N148" i="17"/>
  <c r="O148" i="17" s="1"/>
  <c r="N140" i="17"/>
  <c r="O140" i="17" s="1"/>
  <c r="N146" i="17"/>
  <c r="O146" i="17" s="1"/>
  <c r="N143" i="17"/>
  <c r="O143" i="17" s="1"/>
  <c r="CC32" i="18"/>
  <c r="CF31" i="18"/>
  <c r="CH31" i="18" s="1"/>
  <c r="CE31" i="18"/>
  <c r="BI18" i="18"/>
  <c r="BJ18" i="18" s="1"/>
  <c r="AT19" i="18"/>
  <c r="AS19" i="18"/>
  <c r="AR19" i="18"/>
  <c r="BT23" i="18"/>
  <c r="BV23" i="18"/>
  <c r="BU23" i="18"/>
  <c r="BD19" i="18"/>
  <c r="BE19" i="18" s="1"/>
  <c r="CG31" i="18" l="1"/>
  <c r="AB30" i="18"/>
  <c r="AC30" i="18" s="1"/>
  <c r="Y32" i="18"/>
  <c r="AA31" i="18"/>
  <c r="Z31" i="18"/>
  <c r="CA34" i="18"/>
  <c r="CB34" i="18"/>
  <c r="BY35" i="18"/>
  <c r="CE32" i="18"/>
  <c r="CC33" i="18"/>
  <c r="CF32" i="18"/>
  <c r="CG32" i="18" s="1"/>
  <c r="BG19" i="18"/>
  <c r="BF19" i="18"/>
  <c r="BH19" i="18"/>
  <c r="BR24" i="18"/>
  <c r="BS24" i="18" s="1"/>
  <c r="BW23" i="18"/>
  <c r="BX23" i="18" s="1"/>
  <c r="AP20" i="18"/>
  <c r="AQ20" i="18" s="1"/>
  <c r="AU19" i="18"/>
  <c r="AV19" i="18" s="1"/>
  <c r="CI19" i="18" s="1"/>
  <c r="AB31" i="18" l="1"/>
  <c r="AC31" i="18" s="1"/>
  <c r="N153" i="17"/>
  <c r="O153" i="17" s="1"/>
  <c r="N160" i="17"/>
  <c r="O160" i="17" s="1"/>
  <c r="N156" i="17"/>
  <c r="O156" i="17" s="1"/>
  <c r="N159" i="17"/>
  <c r="O159" i="17" s="1"/>
  <c r="N154" i="17"/>
  <c r="O154" i="17" s="1"/>
  <c r="N162" i="17"/>
  <c r="O162" i="17" s="1"/>
  <c r="N161" i="17"/>
  <c r="O161" i="17" s="1"/>
  <c r="N152" i="17"/>
  <c r="O152" i="17" s="1"/>
  <c r="N155" i="17"/>
  <c r="O155" i="17" s="1"/>
  <c r="N157" i="17"/>
  <c r="O157" i="17" s="1"/>
  <c r="N158" i="17"/>
  <c r="O158" i="17" s="1"/>
  <c r="N151" i="17"/>
  <c r="O151" i="17" s="1"/>
  <c r="CE33" i="18"/>
  <c r="CF33" i="18"/>
  <c r="CG33" i="18" s="1"/>
  <c r="CC34" i="18"/>
  <c r="CA35" i="18"/>
  <c r="CB35" i="18"/>
  <c r="BY36" i="18"/>
  <c r="CH32" i="18"/>
  <c r="Z32" i="18"/>
  <c r="Y33" i="18"/>
  <c r="AA32" i="18"/>
  <c r="BI19" i="18"/>
  <c r="BJ19" i="18" s="1"/>
  <c r="AT20" i="18"/>
  <c r="AS20" i="18"/>
  <c r="AR20" i="18"/>
  <c r="BD20" i="18"/>
  <c r="BE20" i="18" s="1"/>
  <c r="BT24" i="18"/>
  <c r="BV24" i="18"/>
  <c r="BU24" i="18"/>
  <c r="CF34" i="18" l="1"/>
  <c r="CG34" i="18" s="1"/>
  <c r="CE34" i="18"/>
  <c r="CC35" i="18"/>
  <c r="CH33" i="18"/>
  <c r="AA33" i="18"/>
  <c r="Y34" i="18"/>
  <c r="Z33" i="18"/>
  <c r="AB32" i="18"/>
  <c r="AC32" i="18" s="1"/>
  <c r="CA36" i="18"/>
  <c r="CB36" i="18"/>
  <c r="BY37" i="18"/>
  <c r="BW24" i="18"/>
  <c r="BX24" i="18" s="1"/>
  <c r="BH20" i="18"/>
  <c r="BG20" i="18"/>
  <c r="BF20" i="18"/>
  <c r="BR25" i="18"/>
  <c r="BS25" i="18" s="1"/>
  <c r="AP21" i="18"/>
  <c r="AQ21" i="18" s="1"/>
  <c r="AU20" i="18"/>
  <c r="AV20" i="18" s="1"/>
  <c r="CI20" i="18" s="1"/>
  <c r="CH34" i="18" l="1"/>
  <c r="N174" i="17"/>
  <c r="O174" i="17" s="1"/>
  <c r="N165" i="17"/>
  <c r="O165" i="17" s="1"/>
  <c r="N164" i="17"/>
  <c r="O164" i="17" s="1"/>
  <c r="N167" i="17"/>
  <c r="O167" i="17" s="1"/>
  <c r="N172" i="17"/>
  <c r="O172" i="17" s="1"/>
  <c r="N169" i="17"/>
  <c r="O169" i="17" s="1"/>
  <c r="N173" i="17"/>
  <c r="O173" i="17" s="1"/>
  <c r="N170" i="17"/>
  <c r="O170" i="17" s="1"/>
  <c r="N168" i="17"/>
  <c r="O168" i="17" s="1"/>
  <c r="N166" i="17"/>
  <c r="O166" i="17" s="1"/>
  <c r="N171" i="17"/>
  <c r="O171" i="17" s="1"/>
  <c r="N163" i="17"/>
  <c r="O163" i="17" s="1"/>
  <c r="AA34" i="18"/>
  <c r="Y35" i="18"/>
  <c r="Z34" i="18"/>
  <c r="AB33" i="18"/>
  <c r="AC33" i="18" s="1"/>
  <c r="CA37" i="18"/>
  <c r="CB37" i="18"/>
  <c r="D16" i="19" s="1"/>
  <c r="CE35" i="18"/>
  <c r="CC36" i="18"/>
  <c r="CF35" i="18"/>
  <c r="CG35" i="18" s="1"/>
  <c r="BI20" i="18"/>
  <c r="BJ20" i="18" s="1"/>
  <c r="BT25" i="18"/>
  <c r="BV25" i="18"/>
  <c r="BU25" i="18"/>
  <c r="BD21" i="18"/>
  <c r="BE21" i="18" s="1"/>
  <c r="AR21" i="18"/>
  <c r="AS21" i="18"/>
  <c r="AT21" i="18"/>
  <c r="AU21" i="18" s="1"/>
  <c r="AV21" i="18" s="1"/>
  <c r="CI21" i="18" s="1"/>
  <c r="N185" i="17" l="1"/>
  <c r="O185" i="17" s="1"/>
  <c r="N186" i="17"/>
  <c r="O186" i="17" s="1"/>
  <c r="N181" i="17"/>
  <c r="O181" i="17" s="1"/>
  <c r="N180" i="17"/>
  <c r="O180" i="17" s="1"/>
  <c r="N183" i="17"/>
  <c r="O183" i="17" s="1"/>
  <c r="N177" i="17"/>
  <c r="O177" i="17" s="1"/>
  <c r="N178" i="17"/>
  <c r="O178" i="17" s="1"/>
  <c r="N176" i="17"/>
  <c r="O176" i="17" s="1"/>
  <c r="N182" i="17"/>
  <c r="O182" i="17" s="1"/>
  <c r="N175" i="17"/>
  <c r="O175" i="17" s="1"/>
  <c r="N184" i="17"/>
  <c r="O184" i="17" s="1"/>
  <c r="N179" i="17"/>
  <c r="O179" i="17" s="1"/>
  <c r="CH35" i="18"/>
  <c r="E16" i="19"/>
  <c r="F16" i="19" s="1"/>
  <c r="Y36" i="18"/>
  <c r="Z35" i="18"/>
  <c r="AA35" i="18"/>
  <c r="CE36" i="18"/>
  <c r="CC37" i="18"/>
  <c r="CF36" i="18"/>
  <c r="CH36" i="18" s="1"/>
  <c r="AB34" i="18"/>
  <c r="AC34" i="18" s="1"/>
  <c r="BW25" i="18"/>
  <c r="BX25" i="18" s="1"/>
  <c r="AP22" i="18"/>
  <c r="AQ22" i="18" s="1"/>
  <c r="BH21" i="18"/>
  <c r="BG21" i="18"/>
  <c r="BF21" i="18"/>
  <c r="BR26" i="18"/>
  <c r="BS26" i="18" s="1"/>
  <c r="CG36" i="18" l="1"/>
  <c r="AA36" i="18"/>
  <c r="Z36" i="18"/>
  <c r="Y37" i="18"/>
  <c r="CF37" i="18"/>
  <c r="CG37" i="18" s="1"/>
  <c r="E17" i="19" s="1"/>
  <c r="CH37" i="18"/>
  <c r="D17" i="19" s="1"/>
  <c r="CE37" i="18"/>
  <c r="AB35" i="18"/>
  <c r="AC35" i="18" s="1"/>
  <c r="AS22" i="18"/>
  <c r="AT22" i="18"/>
  <c r="AR22" i="18"/>
  <c r="BT26" i="18"/>
  <c r="BU26" i="18"/>
  <c r="BV26" i="18"/>
  <c r="BD22" i="18"/>
  <c r="BE22" i="18" s="1"/>
  <c r="BI21" i="18"/>
  <c r="BJ21" i="18" s="1"/>
  <c r="F17" i="19" l="1"/>
  <c r="Z37" i="18"/>
  <c r="AA37" i="18"/>
  <c r="AB37" i="18" s="1"/>
  <c r="AC37" i="18" s="1"/>
  <c r="AB36" i="18"/>
  <c r="AC36" i="18" s="1"/>
  <c r="BW26" i="18"/>
  <c r="BX26" i="18" s="1"/>
  <c r="AU22" i="18"/>
  <c r="AV22" i="18" s="1"/>
  <c r="CI22" i="18" s="1"/>
  <c r="BF22" i="18"/>
  <c r="BH22" i="18"/>
  <c r="BG22" i="18"/>
  <c r="BR27" i="18"/>
  <c r="BS27" i="18" s="1"/>
  <c r="AP23" i="18"/>
  <c r="AQ23" i="18" s="1"/>
  <c r="D8" i="19" l="1"/>
  <c r="F8" i="19" s="1"/>
  <c r="N192" i="17"/>
  <c r="O192" i="17" s="1"/>
  <c r="N188" i="17"/>
  <c r="O188" i="17" s="1"/>
  <c r="N190" i="17"/>
  <c r="O190" i="17" s="1"/>
  <c r="N194" i="17"/>
  <c r="O194" i="17" s="1"/>
  <c r="N195" i="17"/>
  <c r="O195" i="17" s="1"/>
  <c r="N193" i="17"/>
  <c r="O193" i="17" s="1"/>
  <c r="N196" i="17"/>
  <c r="O196" i="17" s="1"/>
  <c r="N191" i="17"/>
  <c r="O191" i="17" s="1"/>
  <c r="N198" i="17"/>
  <c r="O198" i="17" s="1"/>
  <c r="N189" i="17"/>
  <c r="O189" i="17" s="1"/>
  <c r="N197" i="17"/>
  <c r="O197" i="17" s="1"/>
  <c r="N187" i="17"/>
  <c r="O187" i="17" s="1"/>
  <c r="BI22" i="18"/>
  <c r="BJ22" i="18" s="1"/>
  <c r="AT23" i="18"/>
  <c r="AS23" i="18"/>
  <c r="AR23" i="18"/>
  <c r="BT27" i="18"/>
  <c r="BV27" i="18"/>
  <c r="BU27" i="18"/>
  <c r="BD23" i="18"/>
  <c r="BE23" i="18" s="1"/>
  <c r="AU23" i="18" l="1"/>
  <c r="AV23" i="18" s="1"/>
  <c r="CI23" i="18" s="1"/>
  <c r="BW27" i="18"/>
  <c r="BX27" i="18" s="1"/>
  <c r="BR28" i="18"/>
  <c r="BS28" i="18" s="1"/>
  <c r="BG23" i="18"/>
  <c r="BF23" i="18"/>
  <c r="BH23" i="18"/>
  <c r="AP24" i="18"/>
  <c r="AQ24" i="18" s="1"/>
  <c r="N203" i="17" l="1"/>
  <c r="O203" i="17" s="1"/>
  <c r="N209" i="17"/>
  <c r="O209" i="17" s="1"/>
  <c r="N199" i="17"/>
  <c r="O199" i="17" s="1"/>
  <c r="N204" i="17"/>
  <c r="O204" i="17" s="1"/>
  <c r="N205" i="17"/>
  <c r="O205" i="17" s="1"/>
  <c r="N202" i="17"/>
  <c r="O202" i="17" s="1"/>
  <c r="N210" i="17"/>
  <c r="O210" i="17" s="1"/>
  <c r="N206" i="17"/>
  <c r="O206" i="17" s="1"/>
  <c r="N200" i="17"/>
  <c r="O200" i="17" s="1"/>
  <c r="N201" i="17"/>
  <c r="O201" i="17" s="1"/>
  <c r="N208" i="17"/>
  <c r="O208" i="17" s="1"/>
  <c r="N207" i="17"/>
  <c r="O207" i="17" s="1"/>
  <c r="BD24" i="18"/>
  <c r="BE24" i="18" s="1"/>
  <c r="BI23" i="18"/>
  <c r="BJ23" i="18" s="1"/>
  <c r="BT28" i="18"/>
  <c r="BU28" i="18"/>
  <c r="BV28" i="18"/>
  <c r="AT24" i="18"/>
  <c r="AS24" i="18"/>
  <c r="AR24" i="18"/>
  <c r="BW28" i="18" l="1"/>
  <c r="BX28" i="18" s="1"/>
  <c r="AU24" i="18"/>
  <c r="AV24" i="18" s="1"/>
  <c r="CI24" i="18" s="1"/>
  <c r="AP25" i="18"/>
  <c r="AQ25" i="18" s="1"/>
  <c r="BR29" i="18"/>
  <c r="BS29" i="18" s="1"/>
  <c r="BH24" i="18"/>
  <c r="BF24" i="18"/>
  <c r="BG24" i="18"/>
  <c r="N218" i="17" l="1"/>
  <c r="O218" i="17" s="1"/>
  <c r="N217" i="17"/>
  <c r="O217" i="17" s="1"/>
  <c r="N215" i="17"/>
  <c r="O215" i="17" s="1"/>
  <c r="N214" i="17"/>
  <c r="O214" i="17" s="1"/>
  <c r="N216" i="17"/>
  <c r="O216" i="17" s="1"/>
  <c r="N213" i="17"/>
  <c r="O213" i="17" s="1"/>
  <c r="N220" i="17"/>
  <c r="O220" i="17" s="1"/>
  <c r="N222" i="17"/>
  <c r="O222" i="17" s="1"/>
  <c r="N221" i="17"/>
  <c r="O221" i="17" s="1"/>
  <c r="N212" i="17"/>
  <c r="O212" i="17" s="1"/>
  <c r="N219" i="17"/>
  <c r="O219" i="17" s="1"/>
  <c r="N211" i="17"/>
  <c r="O211" i="17" s="1"/>
  <c r="BD25" i="18"/>
  <c r="BE25" i="18" s="1"/>
  <c r="BT29" i="18"/>
  <c r="BV29" i="18"/>
  <c r="BU29" i="18"/>
  <c r="BI24" i="18"/>
  <c r="BJ24" i="18" s="1"/>
  <c r="AR25" i="18"/>
  <c r="AS25" i="18"/>
  <c r="AT25" i="18"/>
  <c r="AU25" i="18" l="1"/>
  <c r="AV25" i="18" s="1"/>
  <c r="CI25" i="18" s="1"/>
  <c r="BW29" i="18"/>
  <c r="BX29" i="18" s="1"/>
  <c r="BG25" i="18"/>
  <c r="BF25" i="18"/>
  <c r="BH25" i="18"/>
  <c r="AP26" i="18"/>
  <c r="AQ26" i="18" s="1"/>
  <c r="BR30" i="18"/>
  <c r="BS30" i="18" s="1"/>
  <c r="N229" i="17" l="1"/>
  <c r="O229" i="17" s="1"/>
  <c r="N225" i="17"/>
  <c r="O225" i="17" s="1"/>
  <c r="N234" i="17"/>
  <c r="O234" i="17" s="1"/>
  <c r="N232" i="17"/>
  <c r="O232" i="17" s="1"/>
  <c r="N227" i="17"/>
  <c r="O227" i="17" s="1"/>
  <c r="N228" i="17"/>
  <c r="O228" i="17" s="1"/>
  <c r="N224" i="17"/>
  <c r="O224" i="17" s="1"/>
  <c r="N226" i="17"/>
  <c r="O226" i="17" s="1"/>
  <c r="N230" i="17"/>
  <c r="O230" i="17" s="1"/>
  <c r="N223" i="17"/>
  <c r="O223" i="17" s="1"/>
  <c r="N231" i="17"/>
  <c r="O231" i="17" s="1"/>
  <c r="N233" i="17"/>
  <c r="O233" i="17" s="1"/>
  <c r="BT30" i="18"/>
  <c r="BV30" i="18"/>
  <c r="BU30" i="18"/>
  <c r="BD26" i="18"/>
  <c r="BE26" i="18" s="1"/>
  <c r="AS26" i="18"/>
  <c r="AT26" i="18"/>
  <c r="AR26" i="18"/>
  <c r="BI25" i="18"/>
  <c r="BJ25" i="18" s="1"/>
  <c r="AU26" i="18" l="1"/>
  <c r="AV26" i="18" s="1"/>
  <c r="CI26" i="18" s="1"/>
  <c r="BW30" i="18"/>
  <c r="BX30" i="18" s="1"/>
  <c r="AP27" i="18"/>
  <c r="AQ27" i="18" s="1"/>
  <c r="BF26" i="18"/>
  <c r="BH26" i="18"/>
  <c r="BG26" i="18"/>
  <c r="BR31" i="18"/>
  <c r="BS31" i="18" s="1"/>
  <c r="N245" i="17" l="1"/>
  <c r="O245" i="17" s="1"/>
  <c r="N235" i="17"/>
  <c r="O235" i="17" s="1"/>
  <c r="N238" i="17"/>
  <c r="O238" i="17" s="1"/>
  <c r="N242" i="17"/>
  <c r="O242" i="17" s="1"/>
  <c r="N244" i="17"/>
  <c r="O244" i="17" s="1"/>
  <c r="N241" i="17"/>
  <c r="O241" i="17" s="1"/>
  <c r="N236" i="17"/>
  <c r="O236" i="17" s="1"/>
  <c r="N240" i="17"/>
  <c r="O240" i="17" s="1"/>
  <c r="N246" i="17"/>
  <c r="O246" i="17" s="1"/>
  <c r="N237" i="17"/>
  <c r="O237" i="17" s="1"/>
  <c r="N239" i="17"/>
  <c r="O239" i="17" s="1"/>
  <c r="N243" i="17"/>
  <c r="O243" i="17" s="1"/>
  <c r="BI26" i="18"/>
  <c r="BJ26" i="18" s="1"/>
  <c r="BT31" i="18"/>
  <c r="BV31" i="18"/>
  <c r="BU31" i="18"/>
  <c r="BD27" i="18"/>
  <c r="BE27" i="18" s="1"/>
  <c r="AT27" i="18"/>
  <c r="AS27" i="18"/>
  <c r="AR27" i="18"/>
  <c r="BW31" i="18" l="1"/>
  <c r="BX31" i="18" s="1"/>
  <c r="AU27" i="18"/>
  <c r="AV27" i="18" s="1"/>
  <c r="CI27" i="18" s="1"/>
  <c r="AP28" i="18"/>
  <c r="AQ28" i="18" s="1"/>
  <c r="BG27" i="18"/>
  <c r="BH27" i="18"/>
  <c r="BF27" i="18"/>
  <c r="BR32" i="18"/>
  <c r="BS32" i="18" s="1"/>
  <c r="N250" i="17" l="1"/>
  <c r="O250" i="17" s="1"/>
  <c r="N254" i="17"/>
  <c r="O254" i="17" s="1"/>
  <c r="N255" i="17"/>
  <c r="O255" i="17" s="1"/>
  <c r="N253" i="17"/>
  <c r="O253" i="17" s="1"/>
  <c r="N248" i="17"/>
  <c r="O248" i="17" s="1"/>
  <c r="N256" i="17"/>
  <c r="O256" i="17" s="1"/>
  <c r="N258" i="17"/>
  <c r="O258" i="17" s="1"/>
  <c r="N257" i="17"/>
  <c r="O257" i="17" s="1"/>
  <c r="N252" i="17"/>
  <c r="O252" i="17" s="1"/>
  <c r="N251" i="17"/>
  <c r="O251" i="17" s="1"/>
  <c r="N249" i="17"/>
  <c r="O249" i="17" s="1"/>
  <c r="N247" i="17"/>
  <c r="O247" i="17" s="1"/>
  <c r="BI27" i="18"/>
  <c r="BJ27" i="18" s="1"/>
  <c r="BD28" i="18"/>
  <c r="BE28" i="18" s="1"/>
  <c r="AT28" i="18"/>
  <c r="AS28" i="18"/>
  <c r="AR28" i="18"/>
  <c r="BT32" i="18"/>
  <c r="BV32" i="18"/>
  <c r="BU32" i="18"/>
  <c r="AP29" i="18" l="1"/>
  <c r="AQ29" i="18" s="1"/>
  <c r="BW32" i="18"/>
  <c r="BX32" i="18" s="1"/>
  <c r="AU28" i="18"/>
  <c r="AV28" i="18" s="1"/>
  <c r="CI28" i="18" s="1"/>
  <c r="BH28" i="18"/>
  <c r="BG28" i="18"/>
  <c r="BF28" i="18"/>
  <c r="BR33" i="18"/>
  <c r="BS33" i="18" s="1"/>
  <c r="N262" i="17" l="1"/>
  <c r="O262" i="17" s="1"/>
  <c r="N267" i="17"/>
  <c r="O267" i="17" s="1"/>
  <c r="N261" i="17"/>
  <c r="O261" i="17" s="1"/>
  <c r="N260" i="17"/>
  <c r="O260" i="17" s="1"/>
  <c r="N266" i="17"/>
  <c r="O266" i="17" s="1"/>
  <c r="N265" i="17"/>
  <c r="O265" i="17" s="1"/>
  <c r="N269" i="17"/>
  <c r="O269" i="17" s="1"/>
  <c r="N263" i="17"/>
  <c r="O263" i="17" s="1"/>
  <c r="N268" i="17"/>
  <c r="O268" i="17" s="1"/>
  <c r="N270" i="17"/>
  <c r="O270" i="17" s="1"/>
  <c r="N264" i="17"/>
  <c r="O264" i="17" s="1"/>
  <c r="N259" i="17"/>
  <c r="O259" i="17" s="1"/>
  <c r="BI28" i="18"/>
  <c r="BJ28" i="18" s="1"/>
  <c r="BT33" i="18"/>
  <c r="BV33" i="18"/>
  <c r="BU33" i="18"/>
  <c r="AR29" i="18"/>
  <c r="AS29" i="18"/>
  <c r="AT29" i="18"/>
  <c r="BD29" i="18"/>
  <c r="BE29" i="18" s="1"/>
  <c r="AU29" i="18" l="1"/>
  <c r="AV29" i="18" s="1"/>
  <c r="CI29" i="18" s="1"/>
  <c r="BW33" i="18"/>
  <c r="BX33" i="18" s="1"/>
  <c r="BR34" i="18"/>
  <c r="BS34" i="18" s="1"/>
  <c r="BH29" i="18"/>
  <c r="BG29" i="18"/>
  <c r="BF29" i="18"/>
  <c r="AP30" i="18"/>
  <c r="AQ30" i="18" s="1"/>
  <c r="N273" i="17" l="1"/>
  <c r="O273" i="17" s="1"/>
  <c r="N277" i="17"/>
  <c r="O277" i="17" s="1"/>
  <c r="N276" i="17"/>
  <c r="O276" i="17" s="1"/>
  <c r="N278" i="17"/>
  <c r="O278" i="17" s="1"/>
  <c r="N272" i="17"/>
  <c r="O272" i="17" s="1"/>
  <c r="N271" i="17"/>
  <c r="O271" i="17" s="1"/>
  <c r="N281" i="17"/>
  <c r="O281" i="17" s="1"/>
  <c r="N279" i="17"/>
  <c r="O279" i="17" s="1"/>
  <c r="N280" i="17"/>
  <c r="O280" i="17" s="1"/>
  <c r="N274" i="17"/>
  <c r="O274" i="17" s="1"/>
  <c r="N282" i="17"/>
  <c r="O282" i="17" s="1"/>
  <c r="N275" i="17"/>
  <c r="O275" i="17" s="1"/>
  <c r="AS30" i="18"/>
  <c r="AT30" i="18"/>
  <c r="AR30" i="18"/>
  <c r="BI29" i="18"/>
  <c r="BJ29" i="18" s="1"/>
  <c r="BD30" i="18"/>
  <c r="BE30" i="18" s="1"/>
  <c r="BT34" i="18"/>
  <c r="BR35" i="18" s="1"/>
  <c r="BS35" i="18" s="1"/>
  <c r="BV34" i="18"/>
  <c r="BU34" i="18"/>
  <c r="BW34" i="18" l="1"/>
  <c r="BX34" i="18" s="1"/>
  <c r="AU30" i="18"/>
  <c r="AV30" i="18" s="1"/>
  <c r="CI30" i="18" s="1"/>
  <c r="BT35" i="18"/>
  <c r="BR36" i="18" s="1"/>
  <c r="BS36" i="18" s="1"/>
  <c r="BV35" i="18"/>
  <c r="BU35" i="18"/>
  <c r="AP31" i="18"/>
  <c r="AQ31" i="18" s="1"/>
  <c r="BF30" i="18"/>
  <c r="BG30" i="18"/>
  <c r="BH30" i="18"/>
  <c r="N293" i="17" l="1"/>
  <c r="O293" i="17" s="1"/>
  <c r="N289" i="17"/>
  <c r="O289" i="17" s="1"/>
  <c r="N290" i="17"/>
  <c r="O290" i="17" s="1"/>
  <c r="N288" i="17"/>
  <c r="O288" i="17" s="1"/>
  <c r="N291" i="17"/>
  <c r="O291" i="17" s="1"/>
  <c r="N285" i="17"/>
  <c r="O285" i="17" s="1"/>
  <c r="N294" i="17"/>
  <c r="O294" i="17" s="1"/>
  <c r="N287" i="17"/>
  <c r="O287" i="17" s="1"/>
  <c r="N284" i="17"/>
  <c r="O284" i="17" s="1"/>
  <c r="N292" i="17"/>
  <c r="O292" i="17" s="1"/>
  <c r="N286" i="17"/>
  <c r="O286" i="17" s="1"/>
  <c r="N283" i="17"/>
  <c r="O283" i="17" s="1"/>
  <c r="BW35" i="18"/>
  <c r="BX35" i="18" s="1"/>
  <c r="BI30" i="18"/>
  <c r="BJ30" i="18" s="1"/>
  <c r="AT31" i="18"/>
  <c r="AS31" i="18"/>
  <c r="AR31" i="18"/>
  <c r="AP32" i="18" s="1"/>
  <c r="AQ32" i="18" s="1"/>
  <c r="BD31" i="18"/>
  <c r="BE31" i="18" s="1"/>
  <c r="BT36" i="18"/>
  <c r="BR37" i="18" s="1"/>
  <c r="BS37" i="18" s="1"/>
  <c r="BV36" i="18"/>
  <c r="BU36" i="18"/>
  <c r="BW36" i="18" l="1"/>
  <c r="BX36" i="18" s="1"/>
  <c r="AU31" i="18"/>
  <c r="AV31" i="18" s="1"/>
  <c r="CI31" i="18" s="1"/>
  <c r="BU37" i="18"/>
  <c r="BV37" i="18"/>
  <c r="BT37" i="18"/>
  <c r="BG31" i="18"/>
  <c r="BH31" i="18"/>
  <c r="BF31" i="18"/>
  <c r="AT32" i="18"/>
  <c r="AS32" i="18"/>
  <c r="AR32" i="18"/>
  <c r="AP33" i="18" s="1"/>
  <c r="AQ33" i="18" s="1"/>
  <c r="N302" i="17" l="1"/>
  <c r="O302" i="17" s="1"/>
  <c r="N297" i="17"/>
  <c r="O297" i="17" s="1"/>
  <c r="N299" i="17"/>
  <c r="O299" i="17" s="1"/>
  <c r="N304" i="17"/>
  <c r="O304" i="17" s="1"/>
  <c r="N300" i="17"/>
  <c r="O300" i="17" s="1"/>
  <c r="N306" i="17"/>
  <c r="O306" i="17" s="1"/>
  <c r="N305" i="17"/>
  <c r="O305" i="17" s="1"/>
  <c r="N301" i="17"/>
  <c r="O301" i="17" s="1"/>
  <c r="N296" i="17"/>
  <c r="O296" i="17" s="1"/>
  <c r="N295" i="17"/>
  <c r="O295" i="17" s="1"/>
  <c r="N298" i="17"/>
  <c r="O298" i="17" s="1"/>
  <c r="N303" i="17"/>
  <c r="O303" i="17" s="1"/>
  <c r="BW37" i="18"/>
  <c r="BX37" i="18" s="1"/>
  <c r="D15" i="19" s="1"/>
  <c r="F15" i="19" s="1"/>
  <c r="BI31" i="18"/>
  <c r="BJ31" i="18" s="1"/>
  <c r="BD32" i="18"/>
  <c r="BE32" i="18" s="1"/>
  <c r="AR33" i="18"/>
  <c r="AP34" i="18" s="1"/>
  <c r="AQ34" i="18" s="1"/>
  <c r="AS33" i="18"/>
  <c r="AT33" i="18"/>
  <c r="AU32" i="18"/>
  <c r="AV32" i="18" s="1"/>
  <c r="CI32" i="18" s="1"/>
  <c r="N318" i="17" l="1"/>
  <c r="O318" i="17" s="1"/>
  <c r="N317" i="17"/>
  <c r="O317" i="17" s="1"/>
  <c r="N312" i="17"/>
  <c r="O312" i="17" s="1"/>
  <c r="N313" i="17"/>
  <c r="O313" i="17" s="1"/>
  <c r="N315" i="17"/>
  <c r="O315" i="17" s="1"/>
  <c r="N307" i="17"/>
  <c r="O307" i="17" s="1"/>
  <c r="N314" i="17"/>
  <c r="O314" i="17" s="1"/>
  <c r="N308" i="17"/>
  <c r="O308" i="17" s="1"/>
  <c r="N311" i="17"/>
  <c r="O311" i="17" s="1"/>
  <c r="N309" i="17"/>
  <c r="O309" i="17" s="1"/>
  <c r="N310" i="17"/>
  <c r="O310" i="17" s="1"/>
  <c r="N316" i="17"/>
  <c r="O316" i="17" s="1"/>
  <c r="AU33" i="18"/>
  <c r="AV33" i="18" s="1"/>
  <c r="CI33" i="18" s="1"/>
  <c r="AS34" i="18"/>
  <c r="AT34" i="18"/>
  <c r="AR34" i="18"/>
  <c r="AP35" i="18" s="1"/>
  <c r="AQ35" i="18" s="1"/>
  <c r="BH32" i="18"/>
  <c r="BG32" i="18"/>
  <c r="BF32" i="18"/>
  <c r="N326" i="17" l="1"/>
  <c r="O326" i="17" s="1"/>
  <c r="N328" i="17"/>
  <c r="O328" i="17" s="1"/>
  <c r="N329" i="17"/>
  <c r="O329" i="17" s="1"/>
  <c r="N323" i="17"/>
  <c r="O323" i="17" s="1"/>
  <c r="N322" i="17"/>
  <c r="O322" i="17" s="1"/>
  <c r="N325" i="17"/>
  <c r="O325" i="17" s="1"/>
  <c r="N319" i="17"/>
  <c r="O319" i="17" s="1"/>
  <c r="N327" i="17"/>
  <c r="O327" i="17" s="1"/>
  <c r="N320" i="17"/>
  <c r="O320" i="17" s="1"/>
  <c r="N321" i="17"/>
  <c r="O321" i="17" s="1"/>
  <c r="N324" i="17"/>
  <c r="O324" i="17" s="1"/>
  <c r="N330" i="17"/>
  <c r="O330" i="17" s="1"/>
  <c r="AU34" i="18"/>
  <c r="AV34" i="18" s="1"/>
  <c r="CI34" i="18" s="1"/>
  <c r="BI32" i="18"/>
  <c r="BJ32" i="18" s="1"/>
  <c r="AT35" i="18"/>
  <c r="AS35" i="18"/>
  <c r="AR35" i="18"/>
  <c r="AP36" i="18" s="1"/>
  <c r="AQ36" i="18" s="1"/>
  <c r="BD33" i="18"/>
  <c r="BE33" i="18" s="1"/>
  <c r="N333" i="17" l="1"/>
  <c r="O333" i="17" s="1"/>
  <c r="N341" i="17"/>
  <c r="O341" i="17" s="1"/>
  <c r="N342" i="17"/>
  <c r="O342" i="17" s="1"/>
  <c r="N334" i="17"/>
  <c r="O334" i="17" s="1"/>
  <c r="N332" i="17"/>
  <c r="O332" i="17" s="1"/>
  <c r="N340" i="17"/>
  <c r="O340" i="17" s="1"/>
  <c r="N336" i="17"/>
  <c r="O336" i="17" s="1"/>
  <c r="N339" i="17"/>
  <c r="O339" i="17" s="1"/>
  <c r="N337" i="17"/>
  <c r="O337" i="17" s="1"/>
  <c r="N338" i="17"/>
  <c r="O338" i="17" s="1"/>
  <c r="N335" i="17"/>
  <c r="O335" i="17" s="1"/>
  <c r="N331" i="17"/>
  <c r="O331" i="17" s="1"/>
  <c r="AU35" i="18"/>
  <c r="AV35" i="18" s="1"/>
  <c r="CI35" i="18" s="1"/>
  <c r="AT36" i="18"/>
  <c r="AS36" i="18"/>
  <c r="AR36" i="18"/>
  <c r="AP37" i="18" s="1"/>
  <c r="AQ37" i="18" s="1"/>
  <c r="BH33" i="18"/>
  <c r="BG33" i="18"/>
  <c r="BF33" i="18"/>
  <c r="BD34" i="18" s="1"/>
  <c r="BE34" i="18" s="1"/>
  <c r="N350" i="17" l="1"/>
  <c r="O350" i="17" s="1"/>
  <c r="N345" i="17"/>
  <c r="O345" i="17" s="1"/>
  <c r="N347" i="17"/>
  <c r="O347" i="17" s="1"/>
  <c r="N352" i="17"/>
  <c r="O352" i="17" s="1"/>
  <c r="N351" i="17"/>
  <c r="O351" i="17" s="1"/>
  <c r="N354" i="17"/>
  <c r="O354" i="17" s="1"/>
  <c r="N344" i="17"/>
  <c r="O344" i="17" s="1"/>
  <c r="N353" i="17"/>
  <c r="O353" i="17" s="1"/>
  <c r="N349" i="17"/>
  <c r="O349" i="17" s="1"/>
  <c r="N348" i="17"/>
  <c r="O348" i="17" s="1"/>
  <c r="N346" i="17"/>
  <c r="O346" i="17" s="1"/>
  <c r="N343" i="17"/>
  <c r="O343" i="17" s="1"/>
  <c r="AS37" i="18"/>
  <c r="AT37" i="18"/>
  <c r="AR37" i="18"/>
  <c r="BF34" i="18"/>
  <c r="BD35" i="18" s="1"/>
  <c r="BE35" i="18" s="1"/>
  <c r="BG34" i="18"/>
  <c r="BH34" i="18"/>
  <c r="AU36" i="18"/>
  <c r="AV36" i="18" s="1"/>
  <c r="CI36" i="18" s="1"/>
  <c r="BI33" i="18"/>
  <c r="BJ33" i="18" s="1"/>
  <c r="N356" i="17" l="1"/>
  <c r="O356" i="17" s="1"/>
  <c r="N359" i="17"/>
  <c r="O359" i="17" s="1"/>
  <c r="N361" i="17"/>
  <c r="O361" i="17" s="1"/>
  <c r="N363" i="17"/>
  <c r="O363" i="17" s="1"/>
  <c r="N364" i="17"/>
  <c r="O364" i="17" s="1"/>
  <c r="N365" i="17"/>
  <c r="O365" i="17" s="1"/>
  <c r="N358" i="17"/>
  <c r="O358" i="17" s="1"/>
  <c r="N360" i="17"/>
  <c r="O360" i="17" s="1"/>
  <c r="N366" i="17"/>
  <c r="O366" i="17" s="1"/>
  <c r="N357" i="17"/>
  <c r="O357" i="17" s="1"/>
  <c r="N362" i="17"/>
  <c r="O362" i="17" s="1"/>
  <c r="N355" i="17"/>
  <c r="O355" i="17" s="1"/>
  <c r="BI34" i="18"/>
  <c r="BJ34" i="18" s="1"/>
  <c r="AU37" i="18"/>
  <c r="AV37" i="18" s="1"/>
  <c r="BG35" i="18"/>
  <c r="BH35" i="18"/>
  <c r="BI35" i="18" s="1"/>
  <c r="BJ35" i="18" s="1"/>
  <c r="BF35" i="18"/>
  <c r="BD36" i="18" s="1"/>
  <c r="BE36" i="18" s="1"/>
  <c r="D11" i="19" l="1"/>
  <c r="F11" i="19" s="1"/>
  <c r="CI37" i="18"/>
  <c r="N367" i="17" s="1"/>
  <c r="BH36" i="18"/>
  <c r="BG36" i="18"/>
  <c r="BF36" i="18"/>
  <c r="BD37" i="18" s="1"/>
  <c r="BE37" i="18" s="1"/>
  <c r="O367" i="17" l="1"/>
  <c r="AC36" i="17"/>
  <c r="AC18" i="17"/>
  <c r="AC37" i="17"/>
  <c r="AC8" i="17"/>
  <c r="AC12" i="17"/>
  <c r="AC30" i="17"/>
  <c r="AC23" i="17"/>
  <c r="AC28" i="17"/>
  <c r="AC26" i="17"/>
  <c r="AC22" i="17"/>
  <c r="AC24" i="17"/>
  <c r="AC34" i="17"/>
  <c r="AC20" i="17"/>
  <c r="AC32" i="17"/>
  <c r="AC31" i="17"/>
  <c r="AC17" i="17"/>
  <c r="AC10" i="17"/>
  <c r="AC21" i="17"/>
  <c r="AC15" i="17"/>
  <c r="AC16" i="17"/>
  <c r="AC19" i="17"/>
  <c r="E54" i="9"/>
  <c r="AC29" i="17"/>
  <c r="AC9" i="17"/>
  <c r="AC13" i="17"/>
  <c r="AC33" i="17"/>
  <c r="AC25" i="17"/>
  <c r="AC14" i="17"/>
  <c r="AC27" i="17"/>
  <c r="AC11" i="17"/>
  <c r="AC35" i="17"/>
  <c r="BH37" i="18"/>
  <c r="BG37" i="18"/>
  <c r="BF37" i="18"/>
  <c r="BI36" i="18"/>
  <c r="BJ36" i="18" s="1"/>
  <c r="E49" i="9" l="1"/>
  <c r="E43" i="9"/>
  <c r="AD26" i="17"/>
  <c r="T50" i="9" s="1"/>
  <c r="AD29" i="17"/>
  <c r="AD37" i="17"/>
  <c r="AD10" i="17"/>
  <c r="T34" i="9" s="1"/>
  <c r="AD25" i="17"/>
  <c r="T49" i="9" s="1"/>
  <c r="AD14" i="17"/>
  <c r="T38" i="9" s="1"/>
  <c r="AD23" i="17"/>
  <c r="T47" i="9" s="1"/>
  <c r="AD13" i="17"/>
  <c r="T37" i="9" s="1"/>
  <c r="AD36" i="17"/>
  <c r="AD9" i="17"/>
  <c r="T33" i="9" s="1"/>
  <c r="AD8" i="17"/>
  <c r="AD28" i="17"/>
  <c r="AD34" i="17"/>
  <c r="AD15" i="17"/>
  <c r="T39" i="9" s="1"/>
  <c r="AD20" i="17"/>
  <c r="T44" i="9" s="1"/>
  <c r="AD16" i="17"/>
  <c r="T40" i="9" s="1"/>
  <c r="AD35" i="17"/>
  <c r="AD11" i="17"/>
  <c r="T35" i="9" s="1"/>
  <c r="E50" i="9"/>
  <c r="AD12" i="17"/>
  <c r="T36" i="9" s="1"/>
  <c r="AD17" i="17"/>
  <c r="T41" i="9" s="1"/>
  <c r="AD33" i="17"/>
  <c r="AD22" i="17"/>
  <c r="T46" i="9" s="1"/>
  <c r="AD31" i="17"/>
  <c r="E55" i="9"/>
  <c r="F54" i="9" s="1"/>
  <c r="AD32" i="17"/>
  <c r="AD30" i="17"/>
  <c r="AD24" i="17"/>
  <c r="T48" i="9" s="1"/>
  <c r="AD21" i="17"/>
  <c r="T45" i="9" s="1"/>
  <c r="AD19" i="17"/>
  <c r="T43" i="9" s="1"/>
  <c r="AD18" i="17"/>
  <c r="T42" i="9" s="1"/>
  <c r="AD27" i="17"/>
  <c r="T51" i="9" s="1"/>
  <c r="BI37" i="18"/>
  <c r="BJ37" i="18" s="1"/>
  <c r="D13" i="19" s="1"/>
  <c r="F13" i="19" s="1"/>
  <c r="T32" i="9" l="1"/>
  <c r="E68" i="9"/>
  <c r="F55" i="9"/>
  <c r="E69" i="9"/>
  <c r="F53" i="9"/>
  <c r="V49" i="9" l="1"/>
  <c r="U34" i="9"/>
  <c r="V41" i="9"/>
  <c r="U51" i="9"/>
  <c r="V45" i="9"/>
  <c r="V44" i="9"/>
  <c r="V42" i="9"/>
  <c r="U45" i="9"/>
  <c r="U44" i="9"/>
  <c r="U32" i="9"/>
  <c r="V36" i="9"/>
  <c r="V46" i="9"/>
  <c r="U36" i="9"/>
  <c r="U46" i="9"/>
  <c r="U39" i="9"/>
  <c r="V33" i="9"/>
  <c r="V34" i="9"/>
  <c r="V37" i="9"/>
  <c r="U49" i="9"/>
  <c r="U37" i="9"/>
  <c r="V35" i="9"/>
  <c r="V51" i="9"/>
  <c r="U38" i="9"/>
  <c r="U35" i="9"/>
  <c r="V50" i="9"/>
  <c r="V48" i="9"/>
  <c r="V47" i="9"/>
  <c r="V43" i="9"/>
  <c r="U48" i="9"/>
  <c r="U41" i="9"/>
  <c r="U40" i="9"/>
  <c r="V38" i="9"/>
  <c r="U33" i="9"/>
  <c r="U50" i="9"/>
  <c r="V39" i="9"/>
  <c r="V40" i="9"/>
  <c r="V32" i="9"/>
  <c r="U42" i="9"/>
  <c r="U43" i="9"/>
  <c r="U47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CHERY Cyrille</author>
  </authors>
  <commentList>
    <comment ref="C7" authorId="0" shapeId="0" xr:uid="{00000000-0006-0000-0200-000001000000}">
      <text>
        <r>
          <rPr>
            <sz val="9"/>
            <color rgb="FF000000"/>
            <rFont val="Tahoma"/>
            <family val="2"/>
          </rPr>
          <t>Intégrer l'abattement de 10% pour frais professionnels ou déduire les frais réels.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Cyrille Chéry</author>
  </authors>
  <commentList>
    <comment ref="C8" authorId="0" shapeId="0" xr:uid="{00000000-0006-0000-0300-000002000000}">
      <text>
        <r>
          <rPr>
            <sz val="9"/>
            <color rgb="FF000000"/>
            <rFont val="Tahoma"/>
            <family val="2"/>
          </rPr>
          <t>Si régime nu au réel, uniquement les travaux déductibles.</t>
        </r>
      </text>
    </comment>
    <comment ref="C9" authorId="0" shapeId="0" xr:uid="{B5E085B3-70C7-414C-9A03-579125C6C631}">
      <text>
        <r>
          <rPr>
            <sz val="10"/>
            <color rgb="FF000000"/>
            <rFont val="Tahoma"/>
            <family val="2"/>
          </rPr>
          <t>Si meublé, mobilier comptabilisé en charge la première année</t>
        </r>
      </text>
    </comment>
    <comment ref="F9" authorId="0" shapeId="0" xr:uid="{00000000-0006-0000-0300-000001000000}">
      <text>
        <r>
          <rPr>
            <sz val="10"/>
            <color rgb="FF000000"/>
            <rFont val="Tahoma"/>
            <family val="2"/>
          </rPr>
          <t>En fonction du capital emprunté</t>
        </r>
      </text>
    </comment>
    <comment ref="F10" authorId="0" shapeId="0" xr:uid="{8640F761-E0AA-1747-B547-B339384E9983}">
      <text>
        <r>
          <rPr>
            <sz val="10"/>
            <color rgb="FF000000"/>
            <rFont val="Tahoma"/>
            <family val="2"/>
          </rPr>
          <t>Durée hors différé d'emprunt</t>
        </r>
      </text>
    </comment>
    <comment ref="F11" authorId="0" shapeId="0" xr:uid="{65508778-84E5-C042-BC0B-7A648841C00A}">
      <text>
        <r>
          <rPr>
            <sz val="10"/>
            <color rgb="FF000000"/>
            <rFont val="Tahoma"/>
            <family val="2"/>
          </rPr>
          <t xml:space="preserve">Prêt "classique" : amortissable sans différé.
</t>
        </r>
        <r>
          <rPr>
            <sz val="10"/>
            <color rgb="FF000000"/>
            <rFont val="Tahoma"/>
            <family val="2"/>
          </rPr>
          <t xml:space="preserve">Si différé, précisez la durée. Si vous ne payez ni les intérêts, ni le capital, il s'agit d'un différé total. Si vous payez uniquement les intérêts, le différé est partiel.
</t>
        </r>
        <r>
          <rPr>
            <sz val="10"/>
            <color rgb="FF000000"/>
            <rFont val="Tahoma"/>
            <family val="2"/>
          </rPr>
          <t>Si vous remboursez le capital à la fin du prêt, entrez in-fine.</t>
        </r>
      </text>
    </comment>
    <comment ref="C12" authorId="0" shapeId="0" xr:uid="{8B51E288-816A-2F4A-8AE6-C7AED4F685B8}">
      <text>
        <r>
          <rPr>
            <sz val="10"/>
            <color rgb="FF000000"/>
            <rFont val="Tahoma"/>
            <family val="2"/>
          </rPr>
          <t>Hypothèse de 8% de frais de notaire sur la valeur d'acquisition. Vous pouvez forcer la valeur de cette cellule.</t>
        </r>
      </text>
    </comment>
    <comment ref="F22" authorId="0" shapeId="0" xr:uid="{98742A44-642B-C04A-8C6B-3BCF4AAF2952}">
      <text>
        <r>
          <rPr>
            <sz val="10"/>
            <color rgb="FF000000"/>
            <rFont val="Tahoma"/>
            <family val="2"/>
          </rPr>
          <t>Vous pouvez forcer cette valeur si vous connaissez le prix de revente (sans utiliser les hypothèses de revalorisation)</t>
        </r>
      </text>
    </comment>
    <comment ref="C23" authorId="0" shapeId="0" xr:uid="{00000000-0006-0000-0300-000004000000}">
      <text>
        <r>
          <rPr>
            <sz val="9"/>
            <color rgb="FF000000"/>
            <rFont val="Tahoma"/>
            <family val="2"/>
          </rPr>
          <t>Forfait de charge de gestion et comptable annuel</t>
        </r>
      </text>
    </comment>
    <comment ref="C24" authorId="0" shapeId="0" xr:uid="{00000000-0006-0000-0300-000005000000}">
      <text>
        <r>
          <rPr>
            <sz val="9"/>
            <color rgb="FF000000"/>
            <rFont val="Tahoma"/>
            <family val="2"/>
          </rPr>
          <t>Taux de gestion annuel assis sur les loyers</t>
        </r>
      </text>
    </comment>
  </commentList>
</comments>
</file>

<file path=xl/sharedStrings.xml><?xml version="1.0" encoding="utf-8"?>
<sst xmlns="http://schemas.openxmlformats.org/spreadsheetml/2006/main" count="302" uniqueCount="214">
  <si>
    <t>Invest'Aide est un cabinet de gestion de patrimoine.</t>
  </si>
  <si>
    <t>Nous accompagnons nos clients particuliers et chef d'enteprise dans l'optimisation de leur situation patrimoniale.</t>
  </si>
  <si>
    <t>Nous éditons des logiciels et dispensons plusieurs centaines d'heures de formation à destination des particuliers et les professionnels du patrimoine.</t>
  </si>
  <si>
    <t>Plus d'information sur notre site : www.invest-aide.fr</t>
  </si>
  <si>
    <t>Amortissements : taux et assiettes</t>
  </si>
  <si>
    <t>Abattement impôt PV</t>
  </si>
  <si>
    <t>Foncier</t>
  </si>
  <si>
    <t>Taux de Foncier</t>
  </si>
  <si>
    <t>Année</t>
  </si>
  <si>
    <t>IR</t>
  </si>
  <si>
    <t>Prél. sociaux</t>
  </si>
  <si>
    <t>Bâti</t>
  </si>
  <si>
    <t>Taux de Bâti</t>
  </si>
  <si>
    <t>Travaux</t>
  </si>
  <si>
    <t>Taux de travaux immobilisés</t>
  </si>
  <si>
    <t>Notaire</t>
  </si>
  <si>
    <t>Barème IRPP</t>
  </si>
  <si>
    <t>CSG CRDS</t>
  </si>
  <si>
    <t>Forfait PV</t>
  </si>
  <si>
    <t>Cotisation min. LMP (/an)</t>
  </si>
  <si>
    <t>Taux cotisation LMP</t>
  </si>
  <si>
    <t>Quotient familial demi-part</t>
  </si>
  <si>
    <t>Plafonds et barèmes IS</t>
  </si>
  <si>
    <t>Abattement dividendes</t>
  </si>
  <si>
    <t>PFU</t>
  </si>
  <si>
    <t>Plafond déficit foncier</t>
  </si>
  <si>
    <t>Pondération loyer pour taux d'endett.</t>
  </si>
  <si>
    <t>Taux</t>
  </si>
  <si>
    <t>Restrictions Pinel</t>
  </si>
  <si>
    <t>Montant max opération (acquisition + FdN)</t>
  </si>
  <si>
    <t>Prix m² max</t>
  </si>
  <si>
    <t>Réduction par année</t>
  </si>
  <si>
    <t>Régime matrimonial</t>
  </si>
  <si>
    <t>Nombre de parts</t>
  </si>
  <si>
    <t>Célibataire ou divorcé</t>
  </si>
  <si>
    <t>Marié ou PACSE</t>
  </si>
  <si>
    <t>v3.3</t>
  </si>
  <si>
    <t>Code couleur</t>
  </si>
  <si>
    <t>Cellules à remplir</t>
  </si>
  <si>
    <t>Cellules de résultat</t>
  </si>
  <si>
    <t>Détail des revenus</t>
  </si>
  <si>
    <t>Revalorisations annuelles</t>
  </si>
  <si>
    <t>Traitements et salaires nets</t>
  </si>
  <si>
    <t>Revenus fonciers nets</t>
  </si>
  <si>
    <t>Revenus BIC nets (LMNP)</t>
  </si>
  <si>
    <t>Revenus BIC nets (LMP)</t>
  </si>
  <si>
    <t>Revenu annuel net global</t>
  </si>
  <si>
    <t>Calcul de l'impôt actuel</t>
  </si>
  <si>
    <t>Charges</t>
  </si>
  <si>
    <t>Loyer HC ou crédit RP</t>
  </si>
  <si>
    <t>Nombre d'enfants</t>
  </si>
  <si>
    <t>Crédit conso et autres</t>
  </si>
  <si>
    <t>Nombre de parts fiscales</t>
  </si>
  <si>
    <t>Nombre de parts hors enfants</t>
  </si>
  <si>
    <t>Investissements locatifs en cours</t>
  </si>
  <si>
    <t>IR nb parts fiscales</t>
  </si>
  <si>
    <t>Crédits</t>
  </si>
  <si>
    <t>Loyers HC</t>
  </si>
  <si>
    <t>IR nb parts fiscales hors enfants</t>
  </si>
  <si>
    <t>IR après quotient familial (hors immo.)</t>
  </si>
  <si>
    <t>Prêt sollicité</t>
  </si>
  <si>
    <t>Crédit</t>
  </si>
  <si>
    <t>Loyer après abattement</t>
  </si>
  <si>
    <t>Ratios d'endettement</t>
  </si>
  <si>
    <t>Avant</t>
  </si>
  <si>
    <t>Après</t>
  </si>
  <si>
    <t>Différence</t>
  </si>
  <si>
    <t>Taux d'endettement classique</t>
  </si>
  <si>
    <t>Reste à vivre</t>
  </si>
  <si>
    <t>Zone de financement</t>
  </si>
  <si>
    <t>Zone de surendettement</t>
  </si>
  <si>
    <t>Pour formules : ne pas supprimer</t>
  </si>
  <si>
    <t>LMNP BIC réel</t>
  </si>
  <si>
    <t>Le bien immobilier</t>
  </si>
  <si>
    <t>Le prêt immobilier</t>
  </si>
  <si>
    <t>LMNP micro-BIC</t>
  </si>
  <si>
    <t>Prix d'acquisition du bien</t>
  </si>
  <si>
    <t>Apport</t>
  </si>
  <si>
    <t>LMNP Bouvard</t>
  </si>
  <si>
    <t>Montant des travaux (immob.)</t>
  </si>
  <si>
    <t>Taux nominal</t>
  </si>
  <si>
    <t>Nu foncier réel</t>
  </si>
  <si>
    <t>Equipements (non immob.)</t>
  </si>
  <si>
    <t>Taux d'assurance (/CI)</t>
  </si>
  <si>
    <t>Nu micro-foncier</t>
  </si>
  <si>
    <t>Frais d'agence</t>
  </si>
  <si>
    <t>Durée de l'emprunt (ans)</t>
  </si>
  <si>
    <t>Pinel foncier réel</t>
  </si>
  <si>
    <t>Frais dossier + caution / hypothèque</t>
  </si>
  <si>
    <t>Type de prêt</t>
  </si>
  <si>
    <t>Amortissable sans différé</t>
  </si>
  <si>
    <t>Pinel micro-foncier</t>
  </si>
  <si>
    <t>Frais de notaire</t>
  </si>
  <si>
    <t>Durée du différé (mois)</t>
  </si>
  <si>
    <t>LMP</t>
  </si>
  <si>
    <t>Montant d'investissement</t>
  </si>
  <si>
    <t>SCI/SARL/SAS IS (sans distribution dividendes)</t>
  </si>
  <si>
    <t>Hypothèses de revalorisations annuelles</t>
  </si>
  <si>
    <t>SCI/SARL/SAS IS (distribution dividendes)</t>
  </si>
  <si>
    <t>La gestion du bien</t>
  </si>
  <si>
    <t>Loyer</t>
  </si>
  <si>
    <t>Loyer annuel HC moyen</t>
  </si>
  <si>
    <t>Bien immobilier</t>
  </si>
  <si>
    <t>Loyer mensuel HC</t>
  </si>
  <si>
    <t>Charges foncières</t>
  </si>
  <si>
    <t>Taux d'occupation</t>
  </si>
  <si>
    <t>Taxe foncière</t>
  </si>
  <si>
    <t>Taxe foncière (hors TOEM)</t>
  </si>
  <si>
    <t>Assurance</t>
  </si>
  <si>
    <t>Assurance PNO</t>
  </si>
  <si>
    <t>Charges copro. non récup. (/an)</t>
  </si>
  <si>
    <t>La cession du bien</t>
  </si>
  <si>
    <t>Charges non prévues estimées (/an)</t>
  </si>
  <si>
    <t>Valeur du bien à terme</t>
  </si>
  <si>
    <t>Frais comptables et bail (/an)</t>
  </si>
  <si>
    <t>Prix du bien net impôt PV</t>
  </si>
  <si>
    <t>Taux de gestion + GLI</t>
  </si>
  <si>
    <t>Durée de détention du bien</t>
  </si>
  <si>
    <t>Fiscalité</t>
  </si>
  <si>
    <t>Régime fiscal</t>
  </si>
  <si>
    <t>Superficie fiscale (m2)</t>
  </si>
  <si>
    <t>Dette</t>
  </si>
  <si>
    <t>Valeur immobilier</t>
  </si>
  <si>
    <t>Cash-flow</t>
  </si>
  <si>
    <t>Enrichissement</t>
  </si>
  <si>
    <t>Effort d'épargne</t>
  </si>
  <si>
    <t>Crédit immobilier</t>
  </si>
  <si>
    <t>Montant à financer</t>
  </si>
  <si>
    <t>Montant à rembourser l'issue du différé</t>
  </si>
  <si>
    <t>Période</t>
  </si>
  <si>
    <t>Mois</t>
  </si>
  <si>
    <t>Mensualité</t>
  </si>
  <si>
    <t>Amortissement</t>
  </si>
  <si>
    <t>Rendements locatifs</t>
  </si>
  <si>
    <t>Rendement locatif brut</t>
  </si>
  <si>
    <t>Rendement locatif net</t>
  </si>
  <si>
    <t>Rendement locatif net net</t>
  </si>
  <si>
    <t>Participation mensuelle</t>
  </si>
  <si>
    <t>+ Loyer</t>
  </si>
  <si>
    <t>- Mensualité de crédit yc assurance</t>
  </si>
  <si>
    <t>- Charges</t>
  </si>
  <si>
    <t>- Impôts</t>
  </si>
  <si>
    <t>Flux de trésorerie mensuel</t>
  </si>
  <si>
    <t>Financement du projet</t>
  </si>
  <si>
    <t>Loyers</t>
  </si>
  <si>
    <t>Economie fiscale</t>
  </si>
  <si>
    <t>Participation</t>
  </si>
  <si>
    <t>Prévoyance</t>
  </si>
  <si>
    <t>Capital assuré à la souscription</t>
  </si>
  <si>
    <t>Rente annuelle à terme</t>
  </si>
  <si>
    <t>Patrimoine au terme</t>
  </si>
  <si>
    <t>Capital restant dû</t>
  </si>
  <si>
    <t>Impôts sur la plus-value</t>
  </si>
  <si>
    <t>Capital net</t>
  </si>
  <si>
    <t>Performance</t>
  </si>
  <si>
    <t>Taux de rentabilité interne de l'opération</t>
  </si>
  <si>
    <t>Quel est le régime / statut fiscal le plus attractif ?</t>
  </si>
  <si>
    <t>Impôts sur les loyers</t>
  </si>
  <si>
    <t>Total des impôts</t>
  </si>
  <si>
    <t>Produits / Charges</t>
  </si>
  <si>
    <t>Capital restant dû début de période</t>
  </si>
  <si>
    <t>Intérêts</t>
  </si>
  <si>
    <t>ADI</t>
  </si>
  <si>
    <t>Mensualité hors ADI</t>
  </si>
  <si>
    <t>Capital net PV à la revente</t>
  </si>
  <si>
    <t>Charges de copro. et foncières</t>
  </si>
  <si>
    <t>Charges de gestion / GLI</t>
  </si>
  <si>
    <t>Assurances yc ADI</t>
  </si>
  <si>
    <t>Impôts</t>
  </si>
  <si>
    <t>Capital à la revente</t>
  </si>
  <si>
    <t>Produits</t>
  </si>
  <si>
    <t>Charges décaissées</t>
  </si>
  <si>
    <t>Amortissements déductibles</t>
  </si>
  <si>
    <t>Imposition revenus avant opération</t>
  </si>
  <si>
    <t>Imposition LMNP Réel</t>
  </si>
  <si>
    <t>Imposition LMNP Micro</t>
  </si>
  <si>
    <t>Imposition LMNP Bouvard</t>
  </si>
  <si>
    <t>Imposition Nu Réel</t>
  </si>
  <si>
    <t>Imposition Nu Micro</t>
  </si>
  <si>
    <t>Imposition Pinel Réel</t>
  </si>
  <si>
    <t>Imposition Pinel Micro</t>
  </si>
  <si>
    <t>Imposition LMP</t>
  </si>
  <si>
    <t>Imposition société IS sans distribution</t>
  </si>
  <si>
    <t>Imposition société IS avec distribution</t>
  </si>
  <si>
    <t>Travaux immobilisés</t>
  </si>
  <si>
    <t>Travaux non immobilisés</t>
  </si>
  <si>
    <t>Equipements</t>
  </si>
  <si>
    <t>Frais d'acquisition</t>
  </si>
  <si>
    <t>Revenus professionnels</t>
  </si>
  <si>
    <t>Revenus BIC nets LMNP</t>
  </si>
  <si>
    <t>Revenus BIC nets LMP</t>
  </si>
  <si>
    <t>Revenus globaux</t>
  </si>
  <si>
    <t>Nb parts fiscales</t>
  </si>
  <si>
    <t>Nb parts fiscales hors enfants</t>
  </si>
  <si>
    <t>IR avant coeff fam.</t>
  </si>
  <si>
    <t>IR après coeff fam.</t>
  </si>
  <si>
    <t>IR avant opération</t>
  </si>
  <si>
    <t>Base imposable</t>
  </si>
  <si>
    <t>IR final</t>
  </si>
  <si>
    <t>IR additionnel</t>
  </si>
  <si>
    <t>Résultat avant déficits ant.</t>
  </si>
  <si>
    <t>Report déficits non imputés</t>
  </si>
  <si>
    <t>Report déficits cumulés</t>
  </si>
  <si>
    <t>Résultat après déficits</t>
  </si>
  <si>
    <t>Report utilisé</t>
  </si>
  <si>
    <t>Plus-value revente</t>
  </si>
  <si>
    <t>Impôts sur les sociétés</t>
  </si>
  <si>
    <t>Impôts sur les sociétés hors PV</t>
  </si>
  <si>
    <t>Base imposable société</t>
  </si>
  <si>
    <t>IR additionnel hors PV</t>
  </si>
  <si>
    <t>Ce fichier a été téléchargé sur le site invest-aide.fr et est protégé par le droit d'auteur.</t>
  </si>
  <si>
    <t>Toute diffusion non autorisée est interdite. L'utilisateur est responsable des conséquences de l'utilisation de l'outil.</t>
  </si>
  <si>
    <t>Vous pouvez télécharger la version Premium ici :</t>
  </si>
  <si>
    <t>https://go.invest-aide.fr/simulateur-rentabilite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</si>
</sst>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_);[Red]\(#,##0.00\ &quot;€&quot;\)"/>
    <numFmt numFmtId="164" formatCode="_-* #,##0.00\ _€_-;\-* #,##0.00\ _€_-;_-* &quot;-&quot;??\ _€_-;_-@_-"/>
    <numFmt numFmtId="165" formatCode="_-* #,##0\ _€_-;\-* #,##0\ _€_-;_-* &quot;-&quot;??\ _€_-;_-@_-"/>
    <numFmt numFmtId="166" formatCode="#,##0_ ;\-#,##0\ "/>
    <numFmt numFmtId="167" formatCode="#,##0\ &quot;€&quot;"/>
    <numFmt numFmtId="168" formatCode="#,##0.00\ &quot;€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i/>
      <sz val="11"/>
      <color theme="1"/>
      <name val="Arial Narrow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0"/>
      <name val="Arial"/>
      <family val="2"/>
    </font>
    <font>
      <sz val="10"/>
      <color theme="0"/>
      <name val="Arial"/>
      <family val="2"/>
    </font>
    <font>
      <sz val="11"/>
      <color theme="1"/>
      <name val="Arial"/>
      <family val="2"/>
    </font>
    <font>
      <sz val="9"/>
      <color rgb="FF000000"/>
      <name val="Tahoma"/>
      <family val="2"/>
    </font>
    <font>
      <sz val="10"/>
      <color rgb="FF000000"/>
      <name val="Tahoma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i/>
      <sz val="9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0"/>
      <name val="Arial"/>
      <family val="2"/>
    </font>
    <font>
      <sz val="14"/>
      <color theme="0"/>
      <name val="Arial"/>
      <family val="2"/>
    </font>
    <font>
      <b/>
      <sz val="10"/>
      <name val="Arial"/>
      <family val="2"/>
    </font>
    <font>
      <b/>
      <sz val="10"/>
      <color theme="2" tint="-0.89999084444715716"/>
      <name val="Arial"/>
      <family val="2"/>
    </font>
    <font>
      <i/>
      <sz val="11"/>
      <color theme="0" tint="-0.14999847407452621"/>
      <name val="Arial"/>
      <family val="2"/>
    </font>
    <font>
      <sz val="11"/>
      <color theme="0" tint="-0.14999847407452621"/>
      <name val="Arial"/>
      <family val="2"/>
    </font>
    <font>
      <i/>
      <sz val="10"/>
      <color theme="0" tint="-0.1499984740745262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lightUp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0" borderId="0" applyNumberFormat="0" applyFill="0" applyBorder="0" applyAlignment="0" applyProtection="0"/>
  </cellStyleXfs>
  <cellXfs count="295">
    <xf numFmtId="0" fontId="0" fillId="0" borderId="0" xfId="0"/>
    <xf numFmtId="0" fontId="2" fillId="0" borderId="0" xfId="0" applyFont="1"/>
    <xf numFmtId="0" fontId="3" fillId="0" borderId="0" xfId="0" applyFont="1"/>
    <xf numFmtId="165" fontId="2" fillId="0" borderId="0" xfId="0" applyNumberFormat="1" applyFont="1"/>
    <xf numFmtId="10" fontId="0" fillId="0" borderId="0" xfId="0" applyNumberFormat="1"/>
    <xf numFmtId="0" fontId="5" fillId="0" borderId="0" xfId="0" applyFont="1"/>
    <xf numFmtId="0" fontId="5" fillId="2" borderId="4" xfId="0" applyFont="1" applyFill="1" applyBorder="1"/>
    <xf numFmtId="0" fontId="6" fillId="0" borderId="0" xfId="0" applyFont="1"/>
    <xf numFmtId="0" fontId="5" fillId="2" borderId="6" xfId="0" applyFont="1" applyFill="1" applyBorder="1"/>
    <xf numFmtId="0" fontId="5" fillId="2" borderId="2" xfId="0" applyFont="1" applyFill="1" applyBorder="1"/>
    <xf numFmtId="0" fontId="8" fillId="5" borderId="1" xfId="0" applyFont="1" applyFill="1" applyBorder="1"/>
    <xf numFmtId="0" fontId="3" fillId="6" borderId="15" xfId="0" applyFont="1" applyFill="1" applyBorder="1"/>
    <xf numFmtId="0" fontId="3" fillId="0" borderId="13" xfId="0" applyFont="1" applyBorder="1"/>
    <xf numFmtId="166" fontId="5" fillId="6" borderId="8" xfId="1" applyNumberFormat="1" applyFont="1" applyFill="1" applyBorder="1" applyAlignment="1" applyProtection="1">
      <alignment horizontal="center"/>
      <protection locked="0"/>
    </xf>
    <xf numFmtId="10" fontId="5" fillId="6" borderId="8" xfId="2" applyNumberFormat="1" applyFont="1" applyFill="1" applyBorder="1" applyAlignment="1" applyProtection="1">
      <alignment horizontal="center"/>
      <protection locked="0"/>
    </xf>
    <xf numFmtId="10" fontId="5" fillId="6" borderId="5" xfId="0" applyNumberFormat="1" applyFont="1" applyFill="1" applyBorder="1" applyAlignment="1" applyProtection="1">
      <alignment horizontal="center"/>
      <protection locked="0"/>
    </xf>
    <xf numFmtId="10" fontId="5" fillId="6" borderId="17" xfId="2" applyNumberFormat="1" applyFont="1" applyFill="1" applyBorder="1" applyAlignment="1" applyProtection="1">
      <alignment horizontal="center"/>
      <protection locked="0"/>
    </xf>
    <xf numFmtId="10" fontId="5" fillId="6" borderId="3" xfId="2" applyNumberFormat="1" applyFont="1" applyFill="1" applyBorder="1" applyAlignment="1" applyProtection="1">
      <alignment horizontal="center"/>
      <protection locked="0"/>
    </xf>
    <xf numFmtId="10" fontId="5" fillId="6" borderId="8" xfId="0" applyNumberFormat="1" applyFont="1" applyFill="1" applyBorder="1" applyAlignment="1" applyProtection="1">
      <alignment horizontal="center"/>
      <protection locked="0"/>
    </xf>
    <xf numFmtId="0" fontId="8" fillId="7" borderId="9" xfId="0" applyFont="1" applyFill="1" applyBorder="1"/>
    <xf numFmtId="0" fontId="8" fillId="7" borderId="10" xfId="0" applyFont="1" applyFill="1" applyBorder="1"/>
    <xf numFmtId="0" fontId="8" fillId="7" borderId="11" xfId="0" applyFont="1" applyFill="1" applyBorder="1"/>
    <xf numFmtId="9" fontId="6" fillId="0" borderId="8" xfId="0" applyNumberFormat="1" applyFont="1" applyBorder="1" applyAlignment="1">
      <alignment horizontal="center"/>
    </xf>
    <xf numFmtId="3" fontId="5" fillId="2" borderId="2" xfId="0" applyNumberFormat="1" applyFont="1" applyFill="1" applyBorder="1"/>
    <xf numFmtId="3" fontId="5" fillId="2" borderId="4" xfId="0" applyNumberFormat="1" applyFont="1" applyFill="1" applyBorder="1"/>
    <xf numFmtId="3" fontId="5" fillId="2" borderId="6" xfId="0" applyNumberFormat="1" applyFont="1" applyFill="1" applyBorder="1"/>
    <xf numFmtId="3" fontId="6" fillId="0" borderId="8" xfId="0" applyNumberFormat="1" applyFont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10" fontId="5" fillId="6" borderId="3" xfId="0" applyNumberFormat="1" applyFont="1" applyFill="1" applyBorder="1" applyAlignment="1">
      <alignment horizontal="center"/>
    </xf>
    <xf numFmtId="10" fontId="5" fillId="6" borderId="5" xfId="0" applyNumberFormat="1" applyFont="1" applyFill="1" applyBorder="1" applyAlignment="1">
      <alignment horizontal="center"/>
    </xf>
    <xf numFmtId="10" fontId="5" fillId="6" borderId="8" xfId="0" applyNumberFormat="1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center"/>
    </xf>
    <xf numFmtId="3" fontId="5" fillId="6" borderId="3" xfId="0" applyNumberFormat="1" applyFont="1" applyFill="1" applyBorder="1" applyAlignment="1">
      <alignment horizontal="center"/>
    </xf>
    <xf numFmtId="0" fontId="9" fillId="7" borderId="18" xfId="0" applyFont="1" applyFill="1" applyBorder="1"/>
    <xf numFmtId="3" fontId="9" fillId="7" borderId="19" xfId="0" applyNumberFormat="1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164" fontId="5" fillId="0" borderId="0" xfId="0" applyNumberFormat="1" applyFont="1"/>
    <xf numFmtId="0" fontId="5" fillId="2" borderId="13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165" fontId="5" fillId="0" borderId="0" xfId="0" applyNumberFormat="1" applyFont="1"/>
    <xf numFmtId="9" fontId="5" fillId="0" borderId="0" xfId="0" applyNumberFormat="1" applyFont="1"/>
    <xf numFmtId="10" fontId="5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4" fontId="0" fillId="0" borderId="0" xfId="0" applyNumberFormat="1"/>
    <xf numFmtId="0" fontId="10" fillId="0" borderId="7" xfId="0" applyFont="1" applyBorder="1"/>
    <xf numFmtId="0" fontId="5" fillId="6" borderId="5" xfId="0" applyFont="1" applyFill="1" applyBorder="1" applyAlignment="1" applyProtection="1">
      <alignment horizontal="center"/>
      <protection locked="0"/>
    </xf>
    <xf numFmtId="167" fontId="5" fillId="0" borderId="3" xfId="0" applyNumberFormat="1" applyFont="1" applyBorder="1" applyAlignment="1">
      <alignment horizontal="center"/>
    </xf>
    <xf numFmtId="167" fontId="5" fillId="0" borderId="5" xfId="0" applyNumberFormat="1" applyFont="1" applyBorder="1" applyAlignment="1">
      <alignment horizontal="center"/>
    </xf>
    <xf numFmtId="167" fontId="5" fillId="0" borderId="8" xfId="0" applyNumberFormat="1" applyFont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left" vertical="center"/>
    </xf>
    <xf numFmtId="0" fontId="7" fillId="2" borderId="6" xfId="0" applyFont="1" applyFill="1" applyBorder="1"/>
    <xf numFmtId="0" fontId="4" fillId="5" borderId="9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7" fillId="2" borderId="2" xfId="0" applyFont="1" applyFill="1" applyBorder="1"/>
    <xf numFmtId="0" fontId="4" fillId="5" borderId="10" xfId="0" applyFont="1" applyFill="1" applyBorder="1" applyAlignment="1">
      <alignment horizontal="center" vertical="center" wrapText="1"/>
    </xf>
    <xf numFmtId="9" fontId="5" fillId="6" borderId="3" xfId="0" applyNumberFormat="1" applyFont="1" applyFill="1" applyBorder="1" applyAlignment="1">
      <alignment horizontal="center"/>
    </xf>
    <xf numFmtId="9" fontId="5" fillId="6" borderId="5" xfId="0" applyNumberFormat="1" applyFont="1" applyFill="1" applyBorder="1" applyAlignment="1">
      <alignment horizontal="center"/>
    </xf>
    <xf numFmtId="9" fontId="5" fillId="6" borderId="8" xfId="0" applyNumberFormat="1" applyFont="1" applyFill="1" applyBorder="1" applyAlignment="1">
      <alignment horizontal="center"/>
    </xf>
    <xf numFmtId="0" fontId="5" fillId="2" borderId="14" xfId="0" applyFont="1" applyFill="1" applyBorder="1"/>
    <xf numFmtId="0" fontId="5" fillId="2" borderId="0" xfId="0" applyFont="1" applyFill="1"/>
    <xf numFmtId="0" fontId="5" fillId="2" borderId="7" xfId="0" applyFont="1" applyFill="1" applyBorder="1"/>
    <xf numFmtId="9" fontId="6" fillId="6" borderId="3" xfId="0" applyNumberFormat="1" applyFont="1" applyFill="1" applyBorder="1" applyAlignment="1">
      <alignment horizontal="center"/>
    </xf>
    <xf numFmtId="9" fontId="6" fillId="6" borderId="5" xfId="0" applyNumberFormat="1" applyFont="1" applyFill="1" applyBorder="1" applyAlignment="1">
      <alignment horizontal="center"/>
    </xf>
    <xf numFmtId="9" fontId="6" fillId="6" borderId="8" xfId="0" applyNumberFormat="1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/>
    </xf>
    <xf numFmtId="10" fontId="5" fillId="0" borderId="3" xfId="2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10" fontId="5" fillId="0" borderId="14" xfId="2" applyNumberFormat="1" applyFont="1" applyBorder="1" applyAlignment="1">
      <alignment horizontal="center"/>
    </xf>
    <xf numFmtId="166" fontId="5" fillId="0" borderId="7" xfId="0" applyNumberFormat="1" applyFont="1" applyBorder="1" applyAlignment="1">
      <alignment horizontal="center"/>
    </xf>
    <xf numFmtId="0" fontId="4" fillId="5" borderId="11" xfId="0" applyFont="1" applyFill="1" applyBorder="1" applyAlignment="1">
      <alignment horizontal="left" vertical="center"/>
    </xf>
    <xf numFmtId="9" fontId="0" fillId="0" borderId="0" xfId="0" applyNumberFormat="1"/>
    <xf numFmtId="0" fontId="0" fillId="0" borderId="7" xfId="0" applyBorder="1"/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10" fontId="7" fillId="0" borderId="14" xfId="2" applyNumberFormat="1" applyFont="1" applyBorder="1" applyAlignment="1">
      <alignment horizontal="center"/>
    </xf>
    <xf numFmtId="166" fontId="7" fillId="0" borderId="7" xfId="0" applyNumberFormat="1" applyFont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8" fillId="7" borderId="2" xfId="0" applyFont="1" applyFill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 wrapText="1"/>
    </xf>
    <xf numFmtId="0" fontId="8" fillId="7" borderId="20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4" fillId="0" borderId="0" xfId="0" applyFont="1"/>
    <xf numFmtId="10" fontId="14" fillId="0" borderId="0" xfId="0" applyNumberFormat="1" applyFont="1"/>
    <xf numFmtId="9" fontId="14" fillId="0" borderId="0" xfId="0" applyNumberFormat="1" applyFont="1"/>
    <xf numFmtId="0" fontId="9" fillId="0" borderId="0" xfId="0" applyFont="1"/>
    <xf numFmtId="9" fontId="9" fillId="0" borderId="0" xfId="0" applyNumberFormat="1" applyFont="1"/>
    <xf numFmtId="167" fontId="5" fillId="0" borderId="0" xfId="0" applyNumberFormat="1" applyFont="1"/>
    <xf numFmtId="8" fontId="2" fillId="0" borderId="0" xfId="0" applyNumberFormat="1" applyFont="1"/>
    <xf numFmtId="0" fontId="15" fillId="0" borderId="0" xfId="0" applyFont="1"/>
    <xf numFmtId="167" fontId="5" fillId="6" borderId="5" xfId="1" applyNumberFormat="1" applyFont="1" applyFill="1" applyBorder="1" applyAlignment="1" applyProtection="1">
      <alignment horizontal="center"/>
      <protection locked="0"/>
    </xf>
    <xf numFmtId="167" fontId="5" fillId="6" borderId="3" xfId="1" applyNumberFormat="1" applyFont="1" applyFill="1" applyBorder="1" applyAlignment="1" applyProtection="1">
      <alignment horizontal="center"/>
      <protection locked="0"/>
    </xf>
    <xf numFmtId="167" fontId="5" fillId="6" borderId="8" xfId="1" applyNumberFormat="1" applyFont="1" applyFill="1" applyBorder="1" applyAlignment="1" applyProtection="1">
      <alignment horizontal="center"/>
      <protection locked="0"/>
    </xf>
    <xf numFmtId="0" fontId="10" fillId="0" borderId="0" xfId="0" applyFont="1"/>
    <xf numFmtId="167" fontId="5" fillId="0" borderId="0" xfId="0" applyNumberFormat="1" applyFont="1" applyAlignment="1">
      <alignment horizontal="center"/>
    </xf>
    <xf numFmtId="167" fontId="5" fillId="0" borderId="7" xfId="0" applyNumberFormat="1" applyFont="1" applyBorder="1" applyAlignment="1">
      <alignment horizontal="center"/>
    </xf>
    <xf numFmtId="167" fontId="5" fillId="6" borderId="5" xfId="0" applyNumberFormat="1" applyFont="1" applyFill="1" applyBorder="1" applyAlignment="1">
      <alignment horizontal="center"/>
    </xf>
    <xf numFmtId="167" fontId="5" fillId="6" borderId="3" xfId="0" applyNumberFormat="1" applyFont="1" applyFill="1" applyBorder="1" applyAlignment="1">
      <alignment horizontal="center"/>
    </xf>
    <xf numFmtId="167" fontId="5" fillId="6" borderId="8" xfId="0" applyNumberFormat="1" applyFont="1" applyFill="1" applyBorder="1" applyAlignment="1">
      <alignment horizontal="center"/>
    </xf>
    <xf numFmtId="168" fontId="5" fillId="0" borderId="4" xfId="0" applyNumberFormat="1" applyFont="1" applyBorder="1" applyAlignment="1">
      <alignment horizontal="center"/>
    </xf>
    <xf numFmtId="168" fontId="5" fillId="0" borderId="0" xfId="0" applyNumberFormat="1" applyFont="1" applyAlignment="1">
      <alignment horizontal="center"/>
    </xf>
    <xf numFmtId="168" fontId="5" fillId="0" borderId="5" xfId="0" applyNumberFormat="1" applyFont="1" applyBorder="1" applyAlignment="1">
      <alignment horizontal="center"/>
    </xf>
    <xf numFmtId="168" fontId="5" fillId="0" borderId="12" xfId="0" applyNumberFormat="1" applyFont="1" applyBorder="1" applyAlignment="1">
      <alignment horizontal="center"/>
    </xf>
    <xf numFmtId="168" fontId="5" fillId="0" borderId="6" xfId="0" applyNumberFormat="1" applyFont="1" applyBorder="1" applyAlignment="1">
      <alignment horizontal="center"/>
    </xf>
    <xf numFmtId="168" fontId="5" fillId="0" borderId="7" xfId="0" applyNumberFormat="1" applyFont="1" applyBorder="1" applyAlignment="1">
      <alignment horizontal="center"/>
    </xf>
    <xf numFmtId="168" fontId="5" fillId="0" borderId="8" xfId="0" applyNumberFormat="1" applyFont="1" applyBorder="1" applyAlignment="1">
      <alignment horizontal="center"/>
    </xf>
    <xf numFmtId="168" fontId="5" fillId="0" borderId="13" xfId="0" applyNumberFormat="1" applyFont="1" applyBorder="1" applyAlignment="1">
      <alignment horizontal="center"/>
    </xf>
    <xf numFmtId="167" fontId="5" fillId="0" borderId="2" xfId="0" applyNumberFormat="1" applyFont="1" applyBorder="1" applyAlignment="1">
      <alignment horizontal="center"/>
    </xf>
    <xf numFmtId="167" fontId="5" fillId="3" borderId="14" xfId="0" applyNumberFormat="1" applyFont="1" applyFill="1" applyBorder="1" applyAlignment="1">
      <alignment horizontal="center"/>
    </xf>
    <xf numFmtId="167" fontId="5" fillId="3" borderId="3" xfId="0" applyNumberFormat="1" applyFont="1" applyFill="1" applyBorder="1" applyAlignment="1">
      <alignment horizontal="center"/>
    </xf>
    <xf numFmtId="167" fontId="5" fillId="3" borderId="2" xfId="0" applyNumberFormat="1" applyFont="1" applyFill="1" applyBorder="1" applyAlignment="1">
      <alignment horizontal="center"/>
    </xf>
    <xf numFmtId="167" fontId="5" fillId="2" borderId="15" xfId="0" applyNumberFormat="1" applyFont="1" applyFill="1" applyBorder="1" applyAlignment="1">
      <alignment horizontal="center"/>
    </xf>
    <xf numFmtId="167" fontId="5" fillId="0" borderId="4" xfId="0" applyNumberFormat="1" applyFont="1" applyBorder="1" applyAlignment="1">
      <alignment horizontal="center"/>
    </xf>
    <xf numFmtId="167" fontId="5" fillId="0" borderId="12" xfId="0" applyNumberFormat="1" applyFont="1" applyBorder="1" applyAlignment="1">
      <alignment horizontal="center"/>
    </xf>
    <xf numFmtId="167" fontId="5" fillId="0" borderId="6" xfId="0" applyNumberFormat="1" applyFont="1" applyBorder="1" applyAlignment="1">
      <alignment horizontal="center"/>
    </xf>
    <xf numFmtId="167" fontId="5" fillId="0" borderId="13" xfId="0" applyNumberFormat="1" applyFont="1" applyBorder="1" applyAlignment="1">
      <alignment horizontal="center"/>
    </xf>
    <xf numFmtId="168" fontId="5" fillId="3" borderId="0" xfId="0" applyNumberFormat="1" applyFont="1" applyFill="1" applyAlignment="1">
      <alignment horizontal="center"/>
    </xf>
    <xf numFmtId="168" fontId="5" fillId="3" borderId="5" xfId="0" applyNumberFormat="1" applyFont="1" applyFill="1" applyBorder="1" applyAlignment="1">
      <alignment horizontal="center"/>
    </xf>
    <xf numFmtId="168" fontId="5" fillId="3" borderId="4" xfId="0" applyNumberFormat="1" applyFont="1" applyFill="1" applyBorder="1" applyAlignment="1">
      <alignment horizontal="center"/>
    </xf>
    <xf numFmtId="168" fontId="5" fillId="2" borderId="12" xfId="0" applyNumberFormat="1" applyFont="1" applyFill="1" applyBorder="1" applyAlignment="1">
      <alignment horizontal="center"/>
    </xf>
    <xf numFmtId="167" fontId="5" fillId="3" borderId="0" xfId="0" applyNumberFormat="1" applyFont="1" applyFill="1" applyAlignment="1">
      <alignment horizontal="center"/>
    </xf>
    <xf numFmtId="167" fontId="5" fillId="3" borderId="5" xfId="0" applyNumberFormat="1" applyFont="1" applyFill="1" applyBorder="1" applyAlignment="1">
      <alignment horizontal="center"/>
    </xf>
    <xf numFmtId="167" fontId="5" fillId="3" borderId="4" xfId="0" applyNumberFormat="1" applyFont="1" applyFill="1" applyBorder="1" applyAlignment="1">
      <alignment horizontal="center"/>
    </xf>
    <xf numFmtId="167" fontId="6" fillId="0" borderId="14" xfId="0" applyNumberFormat="1" applyFont="1" applyBorder="1"/>
    <xf numFmtId="167" fontId="5" fillId="3" borderId="22" xfId="0" applyNumberFormat="1" applyFont="1" applyFill="1" applyBorder="1" applyAlignment="1">
      <alignment horizontal="center"/>
    </xf>
    <xf numFmtId="167" fontId="5" fillId="3" borderId="23" xfId="0" applyNumberFormat="1" applyFont="1" applyFill="1" applyBorder="1" applyAlignment="1">
      <alignment horizontal="center"/>
    </xf>
    <xf numFmtId="167" fontId="6" fillId="3" borderId="26" xfId="0" applyNumberFormat="1" applyFont="1" applyFill="1" applyBorder="1" applyAlignment="1">
      <alignment horizontal="center"/>
    </xf>
    <xf numFmtId="167" fontId="6" fillId="3" borderId="14" xfId="0" applyNumberFormat="1" applyFont="1" applyFill="1" applyBorder="1" applyAlignment="1">
      <alignment horizontal="center"/>
    </xf>
    <xf numFmtId="167" fontId="5" fillId="3" borderId="12" xfId="0" applyNumberFormat="1" applyFont="1" applyFill="1" applyBorder="1" applyAlignment="1">
      <alignment horizontal="center"/>
    </xf>
    <xf numFmtId="167" fontId="5" fillId="0" borderId="4" xfId="1" applyNumberFormat="1" applyFont="1" applyBorder="1" applyAlignment="1">
      <alignment horizontal="center"/>
    </xf>
    <xf numFmtId="167" fontId="5" fillId="0" borderId="0" xfId="1" applyNumberFormat="1" applyFont="1" applyBorder="1" applyAlignment="1">
      <alignment horizontal="center"/>
    </xf>
    <xf numFmtId="167" fontId="5" fillId="0" borderId="5" xfId="1" applyNumberFormat="1" applyFont="1" applyBorder="1" applyAlignment="1">
      <alignment horizontal="center"/>
    </xf>
    <xf numFmtId="167" fontId="5" fillId="4" borderId="4" xfId="0" applyNumberFormat="1" applyFont="1" applyFill="1" applyBorder="1" applyAlignment="1">
      <alignment horizontal="center"/>
    </xf>
    <xf numFmtId="167" fontId="5" fillId="4" borderId="0" xfId="0" applyNumberFormat="1" applyFont="1" applyFill="1" applyAlignment="1">
      <alignment horizontal="center"/>
    </xf>
    <xf numFmtId="167" fontId="5" fillId="6" borderId="4" xfId="0" applyNumberFormat="1" applyFont="1" applyFill="1" applyBorder="1" applyAlignment="1">
      <alignment horizontal="center"/>
    </xf>
    <xf numFmtId="167" fontId="5" fillId="0" borderId="22" xfId="0" applyNumberFormat="1" applyFont="1" applyBorder="1" applyAlignment="1">
      <alignment horizontal="center"/>
    </xf>
    <xf numFmtId="167" fontId="5" fillId="0" borderId="23" xfId="0" applyNumberFormat="1" applyFont="1" applyBorder="1" applyAlignment="1">
      <alignment horizontal="center"/>
    </xf>
    <xf numFmtId="167" fontId="5" fillId="0" borderId="6" xfId="1" applyNumberFormat="1" applyFont="1" applyBorder="1" applyAlignment="1">
      <alignment horizontal="center"/>
    </xf>
    <xf numFmtId="167" fontId="5" fillId="0" borderId="7" xfId="1" applyNumberFormat="1" applyFont="1" applyBorder="1" applyAlignment="1">
      <alignment horizontal="center"/>
    </xf>
    <xf numFmtId="167" fontId="5" fillId="0" borderId="8" xfId="1" applyNumberFormat="1" applyFont="1" applyBorder="1" applyAlignment="1">
      <alignment horizontal="center"/>
    </xf>
    <xf numFmtId="167" fontId="5" fillId="6" borderId="6" xfId="0" applyNumberFormat="1" applyFont="1" applyFill="1" applyBorder="1" applyAlignment="1">
      <alignment horizontal="center"/>
    </xf>
    <xf numFmtId="167" fontId="5" fillId="0" borderId="24" xfId="0" applyNumberFormat="1" applyFont="1" applyBorder="1" applyAlignment="1">
      <alignment horizontal="center"/>
    </xf>
    <xf numFmtId="167" fontId="5" fillId="0" borderId="25" xfId="0" applyNumberFormat="1" applyFont="1" applyBorder="1" applyAlignment="1">
      <alignment horizontal="center"/>
    </xf>
    <xf numFmtId="0" fontId="5" fillId="6" borderId="0" xfId="0" applyFont="1" applyFill="1" applyAlignment="1">
      <alignment horizontal="center"/>
    </xf>
    <xf numFmtId="0" fontId="5" fillId="6" borderId="7" xfId="0" applyFont="1" applyFill="1" applyBorder="1" applyAlignment="1">
      <alignment horizontal="center"/>
    </xf>
    <xf numFmtId="167" fontId="7" fillId="0" borderId="8" xfId="0" applyNumberFormat="1" applyFont="1" applyBorder="1" applyAlignment="1">
      <alignment horizontal="center"/>
    </xf>
    <xf numFmtId="167" fontId="5" fillId="0" borderId="9" xfId="0" applyNumberFormat="1" applyFont="1" applyBorder="1" applyAlignment="1">
      <alignment horizontal="center"/>
    </xf>
    <xf numFmtId="167" fontId="5" fillId="0" borderId="11" xfId="0" applyNumberFormat="1" applyFont="1" applyBorder="1" applyAlignment="1">
      <alignment horizontal="center"/>
    </xf>
    <xf numFmtId="167" fontId="7" fillId="0" borderId="3" xfId="0" applyNumberFormat="1" applyFont="1" applyBorder="1" applyAlignment="1">
      <alignment horizontal="center"/>
    </xf>
    <xf numFmtId="8" fontId="5" fillId="0" borderId="0" xfId="0" applyNumberFormat="1" applyFont="1"/>
    <xf numFmtId="0" fontId="17" fillId="0" borderId="7" xfId="0" applyFont="1" applyBorder="1"/>
    <xf numFmtId="167" fontId="5" fillId="6" borderId="0" xfId="0" applyNumberFormat="1" applyFont="1" applyFill="1" applyAlignment="1">
      <alignment horizontal="center"/>
    </xf>
    <xf numFmtId="167" fontId="5" fillId="6" borderId="7" xfId="0" applyNumberFormat="1" applyFont="1" applyFill="1" applyBorder="1" applyAlignment="1">
      <alignment horizontal="center"/>
    </xf>
    <xf numFmtId="167" fontId="0" fillId="0" borderId="0" xfId="0" applyNumberFormat="1"/>
    <xf numFmtId="167" fontId="5" fillId="6" borderId="8" xfId="2" applyNumberFormat="1" applyFont="1" applyFill="1" applyBorder="1" applyAlignment="1" applyProtection="1">
      <alignment horizontal="center"/>
      <protection locked="0"/>
    </xf>
    <xf numFmtId="0" fontId="25" fillId="0" borderId="0" xfId="0" applyFont="1"/>
    <xf numFmtId="165" fontId="5" fillId="6" borderId="14" xfId="1" applyNumberFormat="1" applyFont="1" applyFill="1" applyBorder="1" applyAlignment="1" applyProtection="1">
      <alignment horizontal="center" vertical="center"/>
      <protection locked="0"/>
    </xf>
    <xf numFmtId="165" fontId="5" fillId="6" borderId="3" xfId="1" applyNumberFormat="1" applyFont="1" applyFill="1" applyBorder="1" applyAlignment="1" applyProtection="1">
      <alignment horizontal="center" vertical="center"/>
      <protection locked="0"/>
    </xf>
    <xf numFmtId="0" fontId="4" fillId="5" borderId="9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/>
    </xf>
    <xf numFmtId="0" fontId="13" fillId="6" borderId="3" xfId="0" applyFont="1" applyFill="1" applyBorder="1" applyAlignment="1">
      <alignment horizontal="center"/>
    </xf>
    <xf numFmtId="0" fontId="13" fillId="6" borderId="4" xfId="0" applyFont="1" applyFill="1" applyBorder="1" applyAlignment="1">
      <alignment horizontal="center"/>
    </xf>
    <xf numFmtId="0" fontId="13" fillId="6" borderId="5" xfId="0" applyFont="1" applyFill="1" applyBorder="1" applyAlignment="1">
      <alignment horizontal="center"/>
    </xf>
    <xf numFmtId="0" fontId="13" fillId="6" borderId="6" xfId="0" applyFont="1" applyFill="1" applyBorder="1" applyAlignment="1">
      <alignment horizontal="center"/>
    </xf>
    <xf numFmtId="0" fontId="13" fillId="6" borderId="8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/>
    </xf>
    <xf numFmtId="0" fontId="8" fillId="7" borderId="10" xfId="0" applyFont="1" applyFill="1" applyBorder="1" applyAlignment="1">
      <alignment horizontal="center"/>
    </xf>
    <xf numFmtId="0" fontId="8" fillId="7" borderId="11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center"/>
    </xf>
    <xf numFmtId="0" fontId="4" fillId="7" borderId="20" xfId="0" applyFont="1" applyFill="1" applyBorder="1" applyAlignment="1">
      <alignment horizontal="center"/>
    </xf>
    <xf numFmtId="0" fontId="4" fillId="7" borderId="10" xfId="0" applyFont="1" applyFill="1" applyBorder="1" applyAlignment="1">
      <alignment horizontal="center"/>
    </xf>
    <xf numFmtId="0" fontId="4" fillId="7" borderId="21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0" fontId="4" fillId="7" borderId="11" xfId="0" applyFont="1" applyFill="1" applyBorder="1" applyAlignment="1">
      <alignment horizontal="center"/>
    </xf>
    <xf numFmtId="0" fontId="26" fillId="0" borderId="0" xfId="3"/>
    <xf numFmtId="0" fontId="10" fillId="0" borderId="0" xfId="0" applyFont="1" applyProtection="1"/>
    <xf numFmtId="0" fontId="5" fillId="0" borderId="0" xfId="0" applyFont="1" applyAlignment="1" applyProtection="1">
      <alignment horizontal="center"/>
    </xf>
    <xf numFmtId="0" fontId="8" fillId="5" borderId="1" xfId="0" applyFont="1" applyFill="1" applyBorder="1" applyProtection="1"/>
    <xf numFmtId="0" fontId="16" fillId="0" borderId="0" xfId="0" applyFont="1" applyProtection="1"/>
    <xf numFmtId="0" fontId="5" fillId="0" borderId="0" xfId="0" applyFont="1" applyAlignment="1" applyProtection="1">
      <alignment horizontal="right"/>
    </xf>
    <xf numFmtId="0" fontId="16" fillId="6" borderId="15" xfId="0" applyFont="1" applyFill="1" applyBorder="1" applyProtection="1"/>
    <xf numFmtId="0" fontId="5" fillId="0" borderId="0" xfId="0" applyFont="1" applyProtection="1"/>
    <xf numFmtId="0" fontId="16" fillId="0" borderId="13" xfId="0" applyFont="1" applyBorder="1" applyProtection="1"/>
    <xf numFmtId="0" fontId="22" fillId="0" borderId="0" xfId="0" applyFont="1" applyProtection="1"/>
    <xf numFmtId="0" fontId="23" fillId="0" borderId="0" xfId="0" applyFont="1" applyProtection="1"/>
    <xf numFmtId="0" fontId="4" fillId="5" borderId="9" xfId="0" applyFont="1" applyFill="1" applyBorder="1" applyProtection="1"/>
    <xf numFmtId="0" fontId="4" fillId="5" borderId="11" xfId="0" applyFont="1" applyFill="1" applyBorder="1" applyProtection="1"/>
    <xf numFmtId="166" fontId="10" fillId="0" borderId="0" xfId="0" applyNumberFormat="1" applyFont="1" applyProtection="1"/>
    <xf numFmtId="0" fontId="5" fillId="2" borderId="4" xfId="0" applyFont="1" applyFill="1" applyBorder="1" applyProtection="1"/>
    <xf numFmtId="0" fontId="5" fillId="2" borderId="2" xfId="0" applyFont="1" applyFill="1" applyBorder="1" applyProtection="1"/>
    <xf numFmtId="9" fontId="5" fillId="0" borderId="0" xfId="0" applyNumberFormat="1" applyFont="1" applyProtection="1"/>
    <xf numFmtId="0" fontId="5" fillId="2" borderId="6" xfId="0" applyFont="1" applyFill="1" applyBorder="1" applyProtection="1"/>
    <xf numFmtId="0" fontId="5" fillId="2" borderId="9" xfId="0" applyFont="1" applyFill="1" applyBorder="1" applyProtection="1"/>
    <xf numFmtId="166" fontId="5" fillId="0" borderId="11" xfId="1" applyNumberFormat="1" applyFont="1" applyFill="1" applyBorder="1" applyAlignment="1" applyProtection="1">
      <alignment horizontal="center"/>
    </xf>
    <xf numFmtId="0" fontId="6" fillId="0" borderId="0" xfId="0" applyFont="1" applyProtection="1"/>
    <xf numFmtId="0" fontId="16" fillId="0" borderId="0" xfId="0" applyFont="1" applyAlignment="1" applyProtection="1">
      <alignment horizontal="right"/>
    </xf>
    <xf numFmtId="167" fontId="5" fillId="0" borderId="5" xfId="1" applyNumberFormat="1" applyFont="1" applyFill="1" applyBorder="1" applyAlignment="1" applyProtection="1">
      <alignment horizontal="center"/>
    </xf>
    <xf numFmtId="10" fontId="5" fillId="0" borderId="0" xfId="2" applyNumberFormat="1" applyFont="1" applyProtection="1"/>
    <xf numFmtId="0" fontId="5" fillId="2" borderId="4" xfId="0" applyFont="1" applyFill="1" applyBorder="1" applyAlignment="1" applyProtection="1">
      <alignment horizontal="left" indent="1"/>
    </xf>
    <xf numFmtId="166" fontId="5" fillId="0" borderId="0" xfId="0" applyNumberFormat="1" applyFont="1" applyProtection="1"/>
    <xf numFmtId="164" fontId="16" fillId="0" borderId="0" xfId="0" applyNumberFormat="1" applyFont="1" applyProtection="1"/>
    <xf numFmtId="0" fontId="5" fillId="2" borderId="16" xfId="0" applyFont="1" applyFill="1" applyBorder="1" applyAlignment="1" applyProtection="1">
      <alignment horizontal="left" indent="1"/>
    </xf>
    <xf numFmtId="165" fontId="6" fillId="0" borderId="0" xfId="0" applyNumberFormat="1" applyFont="1" applyProtection="1"/>
    <xf numFmtId="10" fontId="6" fillId="0" borderId="0" xfId="2" applyNumberFormat="1" applyFont="1" applyProtection="1"/>
    <xf numFmtId="0" fontId="5" fillId="2" borderId="4" xfId="0" applyFont="1" applyFill="1" applyBorder="1" applyAlignment="1" applyProtection="1">
      <alignment horizontal="left" vertical="top" wrapText="1"/>
    </xf>
    <xf numFmtId="166" fontId="5" fillId="0" borderId="5" xfId="1" applyNumberFormat="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Protection="1"/>
    <xf numFmtId="0" fontId="4" fillId="5" borderId="14" xfId="0" applyFont="1" applyFill="1" applyBorder="1" applyAlignment="1" applyProtection="1">
      <alignment horizontal="center"/>
    </xf>
    <xf numFmtId="0" fontId="4" fillId="5" borderId="3" xfId="0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vertical="center" wrapText="1"/>
    </xf>
    <xf numFmtId="0" fontId="5" fillId="2" borderId="6" xfId="0" applyFont="1" applyFill="1" applyBorder="1" applyAlignment="1" applyProtection="1">
      <alignment vertical="center" wrapText="1"/>
    </xf>
    <xf numFmtId="2" fontId="5" fillId="6" borderId="7" xfId="0" applyNumberFormat="1" applyFont="1" applyFill="1" applyBorder="1" applyAlignment="1" applyProtection="1">
      <alignment horizontal="center"/>
    </xf>
    <xf numFmtId="2" fontId="5" fillId="6" borderId="8" xfId="0" applyNumberFormat="1" applyFont="1" applyFill="1" applyBorder="1" applyAlignment="1" applyProtection="1">
      <alignment horizontal="center"/>
    </xf>
    <xf numFmtId="0" fontId="18" fillId="5" borderId="9" xfId="0" applyFont="1" applyFill="1" applyBorder="1" applyProtection="1"/>
    <xf numFmtId="0" fontId="19" fillId="5" borderId="10" xfId="0" applyFont="1" applyFill="1" applyBorder="1" applyProtection="1"/>
    <xf numFmtId="0" fontId="19" fillId="5" borderId="11" xfId="0" applyFont="1" applyFill="1" applyBorder="1" applyProtection="1"/>
    <xf numFmtId="0" fontId="24" fillId="0" borderId="0" xfId="0" applyFont="1" applyProtection="1"/>
    <xf numFmtId="167" fontId="24" fillId="0" borderId="0" xfId="0" applyNumberFormat="1" applyFont="1" applyProtection="1"/>
    <xf numFmtId="0" fontId="17" fillId="0" borderId="0" xfId="0" applyFont="1" applyProtection="1"/>
    <xf numFmtId="0" fontId="13" fillId="2" borderId="2" xfId="0" applyFont="1" applyFill="1" applyBorder="1" applyAlignment="1" applyProtection="1">
      <alignment horizontal="left" indent="1"/>
    </xf>
    <xf numFmtId="0" fontId="13" fillId="2" borderId="14" xfId="0" applyFont="1" applyFill="1" applyBorder="1" applyProtection="1"/>
    <xf numFmtId="0" fontId="10" fillId="0" borderId="14" xfId="0" applyFont="1" applyBorder="1" applyProtection="1"/>
    <xf numFmtId="168" fontId="5" fillId="0" borderId="3" xfId="0" applyNumberFormat="1" applyFont="1" applyBorder="1" applyAlignment="1" applyProtection="1">
      <alignment horizontal="center"/>
    </xf>
    <xf numFmtId="0" fontId="13" fillId="2" borderId="6" xfId="0" quotePrefix="1" applyFont="1" applyFill="1" applyBorder="1" applyAlignment="1" applyProtection="1">
      <alignment horizontal="left" indent="1"/>
    </xf>
    <xf numFmtId="0" fontId="13" fillId="2" borderId="7" xfId="0" applyFont="1" applyFill="1" applyBorder="1" applyProtection="1"/>
    <xf numFmtId="0" fontId="10" fillId="0" borderId="7" xfId="0" applyFont="1" applyBorder="1" applyProtection="1"/>
    <xf numFmtId="168" fontId="5" fillId="0" borderId="8" xfId="0" applyNumberFormat="1" applyFont="1" applyBorder="1" applyAlignment="1" applyProtection="1">
      <alignment horizontal="center"/>
    </xf>
    <xf numFmtId="0" fontId="21" fillId="0" borderId="0" xfId="0" applyFont="1" applyAlignment="1" applyProtection="1">
      <alignment horizontal="left" indent="1"/>
    </xf>
    <xf numFmtId="0" fontId="21" fillId="0" borderId="0" xfId="0" applyFont="1" applyAlignment="1" applyProtection="1">
      <alignment horizontal="center"/>
    </xf>
    <xf numFmtId="0" fontId="5" fillId="2" borderId="2" xfId="0" applyFont="1" applyFill="1" applyBorder="1" applyAlignment="1" applyProtection="1">
      <alignment horizontal="left" indent="1"/>
    </xf>
    <xf numFmtId="0" fontId="5" fillId="2" borderId="14" xfId="0" applyFont="1" applyFill="1" applyBorder="1" applyAlignment="1" applyProtection="1">
      <alignment horizontal="center"/>
    </xf>
    <xf numFmtId="0" fontId="5" fillId="0" borderId="14" xfId="0" applyFont="1" applyBorder="1" applyAlignment="1" applyProtection="1">
      <alignment horizontal="center"/>
    </xf>
    <xf numFmtId="168" fontId="5" fillId="0" borderId="14" xfId="0" applyNumberFormat="1" applyFont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left" indent="1"/>
    </xf>
    <xf numFmtId="0" fontId="5" fillId="2" borderId="7" xfId="0" applyFont="1" applyFill="1" applyBorder="1" applyAlignment="1" applyProtection="1">
      <alignment horizontal="center"/>
    </xf>
    <xf numFmtId="0" fontId="5" fillId="0" borderId="7" xfId="0" applyFont="1" applyBorder="1" applyAlignment="1" applyProtection="1">
      <alignment horizontal="center"/>
    </xf>
    <xf numFmtId="8" fontId="5" fillId="0" borderId="7" xfId="0" applyNumberFormat="1" applyFont="1" applyBorder="1" applyAlignment="1" applyProtection="1">
      <alignment horizontal="center"/>
    </xf>
    <xf numFmtId="0" fontId="5" fillId="0" borderId="14" xfId="0" applyFont="1" applyBorder="1" applyProtection="1"/>
    <xf numFmtId="10" fontId="5" fillId="0" borderId="3" xfId="0" applyNumberFormat="1" applyFont="1" applyBorder="1" applyAlignment="1" applyProtection="1">
      <alignment horizontal="center"/>
    </xf>
    <xf numFmtId="0" fontId="13" fillId="2" borderId="4" xfId="0" applyFont="1" applyFill="1" applyBorder="1" applyAlignment="1" applyProtection="1">
      <alignment horizontal="left" indent="1"/>
    </xf>
    <xf numFmtId="0" fontId="13" fillId="2" borderId="0" xfId="0" applyFont="1" applyFill="1" applyProtection="1"/>
    <xf numFmtId="10" fontId="5" fillId="0" borderId="5" xfId="0" applyNumberFormat="1" applyFont="1" applyBorder="1" applyAlignment="1" applyProtection="1">
      <alignment horizontal="center"/>
    </xf>
    <xf numFmtId="0" fontId="13" fillId="2" borderId="6" xfId="0" applyFont="1" applyFill="1" applyBorder="1" applyAlignment="1" applyProtection="1">
      <alignment horizontal="left" indent="1"/>
    </xf>
    <xf numFmtId="0" fontId="5" fillId="0" borderId="7" xfId="0" applyFont="1" applyBorder="1" applyProtection="1"/>
    <xf numFmtId="10" fontId="5" fillId="0" borderId="8" xfId="0" applyNumberFormat="1" applyFont="1" applyBorder="1" applyAlignment="1" applyProtection="1">
      <alignment horizontal="center"/>
    </xf>
    <xf numFmtId="0" fontId="13" fillId="2" borderId="4" xfId="0" quotePrefix="1" applyFont="1" applyFill="1" applyBorder="1" applyAlignment="1" applyProtection="1">
      <alignment horizontal="left" indent="1"/>
    </xf>
    <xf numFmtId="168" fontId="5" fillId="0" borderId="5" xfId="0" applyNumberFormat="1" applyFont="1" applyBorder="1" applyAlignment="1" applyProtection="1">
      <alignment horizontal="center"/>
    </xf>
    <xf numFmtId="0" fontId="20" fillId="2" borderId="27" xfId="0" applyFont="1" applyFill="1" applyBorder="1" applyAlignment="1" applyProtection="1">
      <alignment horizontal="left" indent="1"/>
    </xf>
    <xf numFmtId="0" fontId="20" fillId="2" borderId="28" xfId="0" applyFont="1" applyFill="1" applyBorder="1" applyAlignment="1" applyProtection="1">
      <alignment horizontal="left" indent="1"/>
    </xf>
    <xf numFmtId="0" fontId="7" fillId="0" borderId="28" xfId="0" applyFont="1" applyBorder="1" applyProtection="1"/>
    <xf numFmtId="168" fontId="7" fillId="0" borderId="29" xfId="0" applyNumberFormat="1" applyFont="1" applyBorder="1" applyAlignment="1" applyProtection="1">
      <alignment horizontal="center"/>
    </xf>
    <xf numFmtId="167" fontId="10" fillId="0" borderId="0" xfId="0" applyNumberFormat="1" applyFont="1" applyProtection="1"/>
    <xf numFmtId="168" fontId="16" fillId="0" borderId="0" xfId="0" applyNumberFormat="1" applyFont="1" applyProtection="1"/>
    <xf numFmtId="9" fontId="10" fillId="0" borderId="0" xfId="2" applyFont="1" applyAlignment="1" applyProtection="1">
      <alignment horizontal="center"/>
    </xf>
    <xf numFmtId="0" fontId="13" fillId="2" borderId="14" xfId="0" applyFont="1" applyFill="1" applyBorder="1" applyAlignment="1" applyProtection="1">
      <alignment horizontal="left" indent="1"/>
    </xf>
    <xf numFmtId="0" fontId="6" fillId="0" borderId="3" xfId="0" applyFont="1" applyBorder="1" applyAlignment="1" applyProtection="1">
      <alignment horizontal="left"/>
    </xf>
    <xf numFmtId="0" fontId="13" fillId="2" borderId="0" xfId="0" applyFont="1" applyFill="1" applyAlignment="1" applyProtection="1">
      <alignment horizontal="left" indent="1"/>
    </xf>
    <xf numFmtId="168" fontId="5" fillId="0" borderId="0" xfId="0" applyNumberFormat="1" applyFont="1" applyAlignment="1" applyProtection="1">
      <alignment horizontal="center"/>
    </xf>
    <xf numFmtId="0" fontId="6" fillId="0" borderId="5" xfId="0" applyFont="1" applyBorder="1" applyAlignment="1" applyProtection="1">
      <alignment horizontal="left"/>
    </xf>
    <xf numFmtId="168" fontId="5" fillId="0" borderId="7" xfId="0" applyNumberFormat="1" applyFont="1" applyBorder="1" applyAlignment="1" applyProtection="1">
      <alignment horizontal="center"/>
    </xf>
    <xf numFmtId="0" fontId="6" fillId="0" borderId="8" xfId="0" applyFont="1" applyBorder="1" applyAlignment="1" applyProtection="1">
      <alignment horizontal="left"/>
    </xf>
    <xf numFmtId="0" fontId="13" fillId="0" borderId="14" xfId="0" applyFont="1" applyBorder="1" applyProtection="1"/>
    <xf numFmtId="168" fontId="13" fillId="0" borderId="3" xfId="0" applyNumberFormat="1" applyFont="1" applyBorder="1" applyAlignment="1" applyProtection="1">
      <alignment horizontal="center"/>
    </xf>
    <xf numFmtId="168" fontId="10" fillId="0" borderId="0" xfId="0" applyNumberFormat="1" applyFont="1" applyProtection="1"/>
    <xf numFmtId="0" fontId="13" fillId="2" borderId="7" xfId="0" applyFont="1" applyFill="1" applyBorder="1" applyAlignment="1" applyProtection="1">
      <alignment horizontal="left" indent="1"/>
    </xf>
    <xf numFmtId="0" fontId="13" fillId="0" borderId="7" xfId="0" applyFont="1" applyBorder="1" applyProtection="1"/>
    <xf numFmtId="168" fontId="13" fillId="0" borderId="8" xfId="0" applyNumberFormat="1" applyFont="1" applyBorder="1" applyAlignment="1" applyProtection="1">
      <alignment horizontal="center"/>
    </xf>
    <xf numFmtId="0" fontId="13" fillId="0" borderId="0" xfId="0" applyFont="1" applyProtection="1"/>
    <xf numFmtId="168" fontId="13" fillId="0" borderId="5" xfId="0" applyNumberFormat="1" applyFont="1" applyBorder="1" applyAlignment="1" applyProtection="1">
      <alignment horizontal="center"/>
    </xf>
    <xf numFmtId="0" fontId="20" fillId="2" borderId="6" xfId="0" applyFont="1" applyFill="1" applyBorder="1" applyAlignment="1" applyProtection="1">
      <alignment horizontal="left" indent="1"/>
    </xf>
    <xf numFmtId="0" fontId="20" fillId="2" borderId="7" xfId="0" applyFont="1" applyFill="1" applyBorder="1" applyProtection="1"/>
    <xf numFmtId="0" fontId="20" fillId="0" borderId="7" xfId="0" applyFont="1" applyBorder="1" applyProtection="1"/>
    <xf numFmtId="168" fontId="20" fillId="0" borderId="8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left" indent="1"/>
    </xf>
    <xf numFmtId="0" fontId="7" fillId="2" borderId="14" xfId="0" applyFont="1" applyFill="1" applyBorder="1" applyProtection="1"/>
    <xf numFmtId="0" fontId="7" fillId="0" borderId="14" xfId="0" applyFont="1" applyBorder="1" applyProtection="1"/>
    <xf numFmtId="10" fontId="7" fillId="0" borderId="3" xfId="2" applyNumberFormat="1" applyFont="1" applyBorder="1" applyAlignment="1" applyProtection="1">
      <alignment horizontal="center"/>
    </xf>
    <xf numFmtId="0" fontId="5" fillId="2" borderId="7" xfId="0" applyFont="1" applyFill="1" applyBorder="1" applyProtection="1"/>
    <xf numFmtId="166" fontId="5" fillId="6" borderId="3" xfId="1" applyNumberFormat="1" applyFont="1" applyFill="1" applyBorder="1" applyAlignment="1" applyProtection="1">
      <alignment horizontal="center"/>
      <protection locked="0"/>
    </xf>
  </cellXfs>
  <cellStyles count="4">
    <cellStyle name="Lien hypertexte" xfId="3" builtinId="8"/>
    <cellStyle name="Milliers" xfId="1" builtinId="3"/>
    <cellStyle name="Normal" xfId="0" builtinId="0"/>
    <cellStyle name="Pourcentage" xfId="2" builtinId="5"/>
  </cellStyles>
  <dxfs count="8"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 style="thin">
          <color auto="1"/>
        </top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 style="thin">
          <color auto="1"/>
        </top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 style="thin">
          <color auto="1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 style="thin">
          <color auto="1"/>
        </top>
        <bottom/>
        <vertical/>
        <horizontal/>
      </border>
    </dxf>
    <dxf>
      <font>
        <color theme="0"/>
      </font>
      <fill>
        <patternFill>
          <fgColor auto="1"/>
          <bgColor theme="0"/>
        </patternFill>
      </fill>
      <border>
        <left/>
        <right/>
        <top style="thin">
          <color auto="1"/>
        </top>
        <bottom/>
        <vertical/>
        <horizontal/>
      </border>
    </dxf>
  </dxfs>
  <tableStyles count="0" defaultTableStyle="TableStyleMedium2" defaultPivotStyle="PivotStyleLight16"/>
  <colors>
    <mruColors>
      <color rgb="FF930000"/>
      <color rgb="FF3FFF2A"/>
      <color rgb="FFB4C7E7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Emprunteur!$B$27</c:f>
          <c:strCache>
            <c:ptCount val="1"/>
            <c:pt idx="0">
              <c:v>Ratios d'endettement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areaChart>
        <c:grouping val="stacked"/>
        <c:varyColors val="0"/>
        <c:ser>
          <c:idx val="3"/>
          <c:order val="1"/>
          <c:tx>
            <c:strRef>
              <c:f>Emprunteur!$B$34</c:f>
              <c:strCache>
                <c:ptCount val="1"/>
                <c:pt idx="0">
                  <c:v>Zone de financement</c:v>
                </c:pt>
              </c:strCache>
            </c:strRef>
          </c:tx>
          <c:spPr>
            <a:solidFill>
              <a:srgbClr val="3FFF2A">
                <a:alpha val="30000"/>
              </a:srgbClr>
            </a:solidFill>
            <a:ln>
              <a:noFill/>
            </a:ln>
            <a:effectLst/>
          </c:spPr>
          <c:cat>
            <c:strRef>
              <c:f>(Emprunteur!$C$27,Emprunteur!$E$27)</c:f>
              <c:strCache>
                <c:ptCount val="2"/>
                <c:pt idx="0">
                  <c:v>Avant</c:v>
                </c:pt>
                <c:pt idx="1">
                  <c:v>Après</c:v>
                </c:pt>
              </c:strCache>
            </c:strRef>
          </c:cat>
          <c:val>
            <c:numRef>
              <c:f>Emprunteur!$C$34:$F$34</c:f>
              <c:numCache>
                <c:formatCode>0%</c:formatCode>
                <c:ptCount val="4"/>
                <c:pt idx="0">
                  <c:v>0.33</c:v>
                </c:pt>
                <c:pt idx="1">
                  <c:v>0.33</c:v>
                </c:pt>
                <c:pt idx="2">
                  <c:v>0.33</c:v>
                </c:pt>
                <c:pt idx="3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5C-4CC1-B301-4D18A52CC190}"/>
            </c:ext>
          </c:extLst>
        </c:ser>
        <c:ser>
          <c:idx val="4"/>
          <c:order val="2"/>
          <c:tx>
            <c:strRef>
              <c:f>Emprunteur!$B$35</c:f>
              <c:strCache>
                <c:ptCount val="1"/>
                <c:pt idx="0">
                  <c:v>Zone de surendettement</c:v>
                </c:pt>
              </c:strCache>
            </c:strRef>
          </c:tx>
          <c:spPr>
            <a:pattFill prst="wdUpDiag">
              <a:fgClr>
                <a:srgbClr val="C00000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/>
          </c:spPr>
          <c:cat>
            <c:strRef>
              <c:f>(Emprunteur!$C$27,Emprunteur!$E$27)</c:f>
              <c:strCache>
                <c:ptCount val="2"/>
                <c:pt idx="0">
                  <c:v>Avant</c:v>
                </c:pt>
                <c:pt idx="1">
                  <c:v>Après</c:v>
                </c:pt>
              </c:strCache>
            </c:strRef>
          </c:cat>
          <c:val>
            <c:numRef>
              <c:f>Emprunteur!$C$35:$F$35</c:f>
              <c:numCache>
                <c:formatCode>0%</c:formatCode>
                <c:ptCount val="4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5C-4CC1-B301-4D18A52CC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195896"/>
        <c:axId val="505198520"/>
      </c:areaChart>
      <c:barChart>
        <c:barDir val="col"/>
        <c:grouping val="clustered"/>
        <c:varyColors val="0"/>
        <c:ser>
          <c:idx val="0"/>
          <c:order val="0"/>
          <c:tx>
            <c:strRef>
              <c:f>Emprunteur!$B$32</c:f>
              <c:strCache>
                <c:ptCount val="1"/>
                <c:pt idx="0">
                  <c:v>Taux d'endettement classique</c:v>
                </c:pt>
              </c:strCache>
            </c:strRef>
          </c:tx>
          <c:spPr>
            <a:gradFill>
              <a:gsLst>
                <a:gs pos="0">
                  <a:schemeClr val="accent1">
                    <a:shade val="30000"/>
                    <a:satMod val="115000"/>
                  </a:schemeClr>
                </a:gs>
                <a:gs pos="50000">
                  <a:schemeClr val="accent1">
                    <a:shade val="67500"/>
                    <a:satMod val="115000"/>
                  </a:schemeClr>
                </a:gs>
                <a:gs pos="100000">
                  <a:schemeClr val="accent1">
                    <a:shade val="100000"/>
                    <a:satMod val="115000"/>
                  </a:schemeClr>
                </a:gs>
              </a:gsLst>
              <a:lin ang="16200000" scaled="1"/>
            </a:gradFill>
            <a:ln>
              <a:noFill/>
            </a:ln>
            <a:effectLst/>
          </c:spPr>
          <c:invertIfNegative val="0"/>
          <c:cat>
            <c:strRef>
              <c:f>Emprunteur!$C$31:$F$31</c:f>
              <c:strCache>
                <c:ptCount val="3"/>
                <c:pt idx="1">
                  <c:v>Avant</c:v>
                </c:pt>
                <c:pt idx="2">
                  <c:v>Après</c:v>
                </c:pt>
              </c:strCache>
            </c:strRef>
          </c:cat>
          <c:val>
            <c:numRef>
              <c:f>Emprunteur!$C$32:$F$32</c:f>
              <c:numCache>
                <c:formatCode>0.00%</c:formatCode>
                <c:ptCount val="4"/>
                <c:pt idx="1">
                  <c:v>0.13600302228938421</c:v>
                </c:pt>
                <c:pt idx="2">
                  <c:v>0.21640122605306999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5C-4CC1-B301-4D18A52CC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05195896"/>
        <c:axId val="505198520"/>
      </c:barChart>
      <c:catAx>
        <c:axId val="505195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05198520"/>
        <c:crosses val="autoZero"/>
        <c:auto val="1"/>
        <c:lblAlgn val="ctr"/>
        <c:lblOffset val="100"/>
        <c:noMultiLvlLbl val="0"/>
      </c:catAx>
      <c:valAx>
        <c:axId val="505198520"/>
        <c:scaling>
          <c:orientation val="minMax"/>
          <c:max val="0.4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05195896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Simulation!$B$52</c:f>
              <c:strCache>
                <c:ptCount val="1"/>
                <c:pt idx="0">
                  <c:v>Financement du projet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E1B-9144-82A4-33927066229D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E1B-9144-82A4-33927066229D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E1B-9144-82A4-33927066229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Simulation!$B$53:$B$55</c:f>
              <c:strCache>
                <c:ptCount val="3"/>
                <c:pt idx="0">
                  <c:v>Loyers</c:v>
                </c:pt>
                <c:pt idx="1">
                  <c:v>Economie fiscale</c:v>
                </c:pt>
                <c:pt idx="2">
                  <c:v>Participation</c:v>
                </c:pt>
              </c:strCache>
            </c:strRef>
          </c:cat>
          <c:val>
            <c:numRef>
              <c:f>Simulation!$E$53:$E$55</c:f>
              <c:numCache>
                <c:formatCode>#\ ##0.00\ "€"</c:formatCode>
                <c:ptCount val="3"/>
                <c:pt idx="0">
                  <c:v>152190.03615836354</c:v>
                </c:pt>
                <c:pt idx="1">
                  <c:v>0</c:v>
                </c:pt>
                <c:pt idx="2">
                  <c:v>19683.359567171981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D08-2647-86AD-9C42ED4F1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FR" sz="1200" b="1"/>
              <a:t>Evolution</a:t>
            </a:r>
            <a:r>
              <a:rPr lang="fr-FR" sz="1200" b="1" baseline="0"/>
              <a:t> du patrimoine</a:t>
            </a:r>
            <a:endParaRPr lang="fr-FR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Simulation!$R$30</c:f>
              <c:strCache>
                <c:ptCount val="1"/>
                <c:pt idx="0">
                  <c:v>Dette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Simulation!$Q$31:$Q$51</c:f>
              <c:numCache>
                <c:formatCode>General</c:formatCode>
                <c:ptCount val="21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</c:numCache>
            </c:numRef>
          </c:cat>
          <c:val>
            <c:numRef>
              <c:f>Simulation!$R$31:$R$51</c:f>
              <c:numCache>
                <c:formatCode>#\ ##0\ "€"</c:formatCode>
                <c:ptCount val="21"/>
                <c:pt idx="0">
                  <c:v>178400</c:v>
                </c:pt>
                <c:pt idx="1">
                  <c:v>170692.82447073673</c:v>
                </c:pt>
                <c:pt idx="2">
                  <c:v>162869.24318504828</c:v>
                </c:pt>
                <c:pt idx="3">
                  <c:v>154927.49800208566</c:v>
                </c:pt>
                <c:pt idx="4">
                  <c:v>146865.80422682117</c:v>
                </c:pt>
                <c:pt idx="5">
                  <c:v>138682.35020898608</c:v>
                </c:pt>
                <c:pt idx="6">
                  <c:v>130375.29693595052</c:v>
                </c:pt>
                <c:pt idx="7">
                  <c:v>121942.77761945453</c:v>
                </c:pt>
                <c:pt idx="8">
                  <c:v>113382.89727609733</c:v>
                </c:pt>
                <c:pt idx="9">
                  <c:v>104693.73230149047</c:v>
                </c:pt>
                <c:pt idx="10">
                  <c:v>95873.330037979104</c:v>
                </c:pt>
                <c:pt idx="11">
                  <c:v>86919.708335834279</c:v>
                </c:pt>
                <c:pt idx="12">
                  <c:v>77830.855107817799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55-6C41-A358-042982F02870}"/>
            </c:ext>
          </c:extLst>
        </c:ser>
        <c:ser>
          <c:idx val="4"/>
          <c:order val="1"/>
          <c:tx>
            <c:strRef>
              <c:f>Simulation!$U$30</c:f>
              <c:strCache>
                <c:ptCount val="1"/>
                <c:pt idx="0">
                  <c:v>Enrichissement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Simulation!$Q$31:$Q$51</c:f>
              <c:numCache>
                <c:formatCode>General</c:formatCode>
                <c:ptCount val="21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</c:numCache>
            </c:numRef>
          </c:cat>
          <c:val>
            <c:numRef>
              <c:f>Simulation!$U$31:$U$51</c:f>
              <c:numCache>
                <c:formatCode>#\ ##0\ "€"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1530.2594578797998</c:v>
                </c:pt>
                <c:pt idx="4">
                  <c:v>9350.0126577994561</c:v>
                </c:pt>
                <c:pt idx="5">
                  <c:v>17395.978015669694</c:v>
                </c:pt>
                <c:pt idx="6">
                  <c:v>25671.039063274253</c:v>
                </c:pt>
                <c:pt idx="7">
                  <c:v>34178.117553218304</c:v>
                </c:pt>
                <c:pt idx="8">
                  <c:v>42920.17398289156</c:v>
                </c:pt>
                <c:pt idx="9">
                  <c:v>51900.20812581107</c:v>
                </c:pt>
                <c:pt idx="10">
                  <c:v>61121.259570451657</c:v>
                </c:pt>
                <c:pt idx="11">
                  <c:v>70586.408266670391</c:v>
                </c:pt>
                <c:pt idx="12">
                  <c:v>80298.775079835032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F55-6C41-A358-042982F02870}"/>
            </c:ext>
          </c:extLst>
        </c:ser>
        <c:ser>
          <c:idx val="5"/>
          <c:order val="2"/>
          <c:tx>
            <c:strRef>
              <c:f>Simulation!$V$30</c:f>
              <c:strCache>
                <c:ptCount val="1"/>
                <c:pt idx="0">
                  <c:v>Effort d'épargne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Simulation!$Q$31:$Q$51</c:f>
              <c:numCache>
                <c:formatCode>General</c:formatCode>
                <c:ptCount val="21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</c:numCache>
            </c:numRef>
          </c:cat>
          <c:val>
            <c:numRef>
              <c:f>Simulation!$V$31:$V$51</c:f>
              <c:numCache>
                <c:formatCode>#\ ##0\ "€"</c:formatCode>
                <c:ptCount val="21"/>
                <c:pt idx="0">
                  <c:v>0</c:v>
                </c:pt>
                <c:pt idx="1">
                  <c:v>2127.1321133448391</c:v>
                </c:pt>
                <c:pt idx="2">
                  <c:v>4168.6642266896824</c:v>
                </c:pt>
                <c:pt idx="3">
                  <c:v>6123.7403400345229</c:v>
                </c:pt>
                <c:pt idx="4">
                  <c:v>7991.4958933793641</c:v>
                </c:pt>
                <c:pt idx="5">
                  <c:v>9771.0576811242063</c:v>
                </c:pt>
                <c:pt idx="6">
                  <c:v>11461.543765613049</c:v>
                </c:pt>
                <c:pt idx="7">
                  <c:v>13062.063389813331</c:v>
                </c:pt>
                <c:pt idx="8">
                  <c:v>14571.71688912217</c:v>
                </c:pt>
                <c:pt idx="9">
                  <c:v>15989.595602290645</c:v>
                </c:pt>
                <c:pt idx="10">
                  <c:v>17314.781781457354</c:v>
                </c:pt>
                <c:pt idx="11">
                  <c:v>18546.348501282286</c:v>
                </c:pt>
                <c:pt idx="12">
                  <c:v>19683.359567172018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F55-6C41-A358-042982F02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8270304"/>
        <c:axId val="157366144"/>
      </c:barChart>
      <c:catAx>
        <c:axId val="11827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57366144"/>
        <c:crosses val="autoZero"/>
        <c:auto val="1"/>
        <c:lblAlgn val="ctr"/>
        <c:lblOffset val="100"/>
        <c:noMultiLvlLbl val="0"/>
      </c:catAx>
      <c:valAx>
        <c:axId val="157366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1827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'Comparatif fiscal'!$D$7</c:f>
              <c:strCache>
                <c:ptCount val="1"/>
                <c:pt idx="0">
                  <c:v>Impôts sur les loyers</c:v>
                </c:pt>
              </c:strCache>
            </c:strRef>
          </c:tx>
          <c:spPr>
            <a:gradFill flip="none" rotWithShape="1">
              <a:gsLst>
                <a:gs pos="0">
                  <a:schemeClr val="accent1">
                    <a:shade val="30000"/>
                    <a:satMod val="115000"/>
                  </a:schemeClr>
                </a:gs>
                <a:gs pos="50000">
                  <a:schemeClr val="accent1">
                    <a:shade val="67500"/>
                    <a:satMod val="115000"/>
                  </a:schemeClr>
                </a:gs>
                <a:gs pos="100000">
                  <a:schemeClr val="accent1">
                    <a:shade val="100000"/>
                    <a:satMod val="115000"/>
                  </a:schemeClr>
                </a:gs>
              </a:gsLst>
              <a:lin ang="16200000" scaled="1"/>
              <a:tileRect/>
            </a:gradFill>
            <a:ln>
              <a:noFill/>
            </a:ln>
            <a:effectLst/>
          </c:spPr>
          <c:invertIfNegative val="0"/>
          <c:cat>
            <c:strRef>
              <c:f>'Comparatif fiscal'!$B$8:$B$17</c:f>
              <c:strCache>
                <c:ptCount val="10"/>
                <c:pt idx="0">
                  <c:v>LMNP BIC réel</c:v>
                </c:pt>
                <c:pt idx="1">
                  <c:v>LMNP micro-BIC</c:v>
                </c:pt>
                <c:pt idx="2">
                  <c:v>LMNP Bouvard</c:v>
                </c:pt>
                <c:pt idx="3">
                  <c:v>Nu foncier réel</c:v>
                </c:pt>
                <c:pt idx="4">
                  <c:v>Nu micro-foncier</c:v>
                </c:pt>
                <c:pt idx="5">
                  <c:v>Pinel foncier réel</c:v>
                </c:pt>
                <c:pt idx="6">
                  <c:v>Pinel micro-foncier</c:v>
                </c:pt>
                <c:pt idx="7">
                  <c:v>LMP</c:v>
                </c:pt>
                <c:pt idx="8">
                  <c:v>SCI/SARL/SAS IS (sans distribution dividendes)</c:v>
                </c:pt>
                <c:pt idx="9">
                  <c:v>SCI/SARL/SAS IS (distribution dividendes)</c:v>
                </c:pt>
              </c:strCache>
            </c:strRef>
          </c:cat>
          <c:val>
            <c:numRef>
              <c:f>'Comparatif fiscal'!$D$8:$D$17</c:f>
              <c:numCache>
                <c:formatCode>#\ ##0\ "€"</c:formatCode>
                <c:ptCount val="10"/>
                <c:pt idx="0">
                  <c:v>0</c:v>
                </c:pt>
                <c:pt idx="1">
                  <c:v>44287.300522083839</c:v>
                </c:pt>
                <c:pt idx="2">
                  <c:v>31087.300522083831</c:v>
                </c:pt>
                <c:pt idx="3">
                  <c:v>26334.327059155919</c:v>
                </c:pt>
                <c:pt idx="4">
                  <c:v>62002.220730917332</c:v>
                </c:pt>
                <c:pt idx="5">
                  <c:v>14984.527059155895</c:v>
                </c:pt>
                <c:pt idx="6">
                  <c:v>31657.220730917335</c:v>
                </c:pt>
                <c:pt idx="7">
                  <c:v>-1321.6291589671746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5E-9E46-A89C-552A21DA456C}"/>
            </c:ext>
          </c:extLst>
        </c:ser>
        <c:ser>
          <c:idx val="1"/>
          <c:order val="1"/>
          <c:tx>
            <c:strRef>
              <c:f>'Comparatif fiscal'!$E$7</c:f>
              <c:strCache>
                <c:ptCount val="1"/>
                <c:pt idx="0">
                  <c:v>Impôts sur la plus-value</c:v>
                </c:pt>
              </c:strCache>
            </c:strRef>
          </c:tx>
          <c:spPr>
            <a:gradFill flip="none" rotWithShape="1">
              <a:gsLst>
                <a:gs pos="0">
                  <a:schemeClr val="accent2">
                    <a:shade val="30000"/>
                    <a:satMod val="115000"/>
                  </a:schemeClr>
                </a:gs>
                <a:gs pos="50000">
                  <a:schemeClr val="accent2">
                    <a:shade val="67500"/>
                    <a:satMod val="115000"/>
                  </a:schemeClr>
                </a:gs>
                <a:gs pos="100000">
                  <a:schemeClr val="accent2">
                    <a:shade val="100000"/>
                    <a:satMod val="115000"/>
                  </a:schemeClr>
                </a:gs>
              </a:gsLst>
              <a:lin ang="8100000" scaled="1"/>
              <a:tileRect/>
            </a:gradFill>
            <a:ln>
              <a:noFill/>
            </a:ln>
            <a:effectLst/>
          </c:spPr>
          <c:invertIfNegative val="0"/>
          <c:cat>
            <c:strRef>
              <c:f>'Comparatif fiscal'!$B$8:$B$17</c:f>
              <c:strCache>
                <c:ptCount val="10"/>
                <c:pt idx="0">
                  <c:v>LMNP BIC réel</c:v>
                </c:pt>
                <c:pt idx="1">
                  <c:v>LMNP micro-BIC</c:v>
                </c:pt>
                <c:pt idx="2">
                  <c:v>LMNP Bouvard</c:v>
                </c:pt>
                <c:pt idx="3">
                  <c:v>Nu foncier réel</c:v>
                </c:pt>
                <c:pt idx="4">
                  <c:v>Nu micro-foncier</c:v>
                </c:pt>
                <c:pt idx="5">
                  <c:v>Pinel foncier réel</c:v>
                </c:pt>
                <c:pt idx="6">
                  <c:v>Pinel micro-foncier</c:v>
                </c:pt>
                <c:pt idx="7">
                  <c:v>LMP</c:v>
                </c:pt>
                <c:pt idx="8">
                  <c:v>SCI/SARL/SAS IS (sans distribution dividendes)</c:v>
                </c:pt>
                <c:pt idx="9">
                  <c:v>SCI/SARL/SAS IS (distribution dividendes)</c:v>
                </c:pt>
              </c:strCache>
            </c:strRef>
          </c:cat>
          <c:val>
            <c:numRef>
              <c:f>'Comparatif fiscal'!$E$8:$E$17</c:f>
              <c:numCache>
                <c:formatCode>#\ ##0\ "€"</c:formatCode>
                <c:ptCount val="10"/>
                <c:pt idx="0">
                  <c:v>1157.6772543422198</c:v>
                </c:pt>
                <c:pt idx="1">
                  <c:v>1157.6772543422198</c:v>
                </c:pt>
                <c:pt idx="2">
                  <c:v>1157.6772543422198</c:v>
                </c:pt>
                <c:pt idx="3">
                  <c:v>1157.6772543422198</c:v>
                </c:pt>
                <c:pt idx="4">
                  <c:v>1157.6772543422198</c:v>
                </c:pt>
                <c:pt idx="5">
                  <c:v>1157.6772543422198</c:v>
                </c:pt>
                <c:pt idx="6">
                  <c:v>1157.6772543422198</c:v>
                </c:pt>
                <c:pt idx="7">
                  <c:v>24101.71428571429</c:v>
                </c:pt>
                <c:pt idx="8">
                  <c:v>16262.693769958754</c:v>
                </c:pt>
                <c:pt idx="9">
                  <c:v>24089.632523950506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5E-9E46-A89C-552A21DA4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635779055"/>
        <c:axId val="577718815"/>
      </c:barChart>
      <c:lineChart>
        <c:grouping val="standard"/>
        <c:varyColors val="0"/>
        <c:ser>
          <c:idx val="2"/>
          <c:order val="2"/>
          <c:tx>
            <c:strRef>
              <c:f>'Comparatif fiscal'!$F$7</c:f>
              <c:strCache>
                <c:ptCount val="1"/>
                <c:pt idx="0">
                  <c:v>Total des impôts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numFmt formatCode="#,##0\ &quot;€&quot;" sourceLinked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'Comparatif fiscal'!$F$8:$F$17</c:f>
              <c:numCache>
                <c:formatCode>#\ ##0\ "€"</c:formatCode>
                <c:ptCount val="10"/>
                <c:pt idx="0">
                  <c:v>1157.6772543422198</c:v>
                </c:pt>
                <c:pt idx="1">
                  <c:v>45444.977776426058</c:v>
                </c:pt>
                <c:pt idx="2">
                  <c:v>32244.977776426051</c:v>
                </c:pt>
                <c:pt idx="3">
                  <c:v>27492.004313498139</c:v>
                </c:pt>
                <c:pt idx="4">
                  <c:v>63159.897985259551</c:v>
                </c:pt>
                <c:pt idx="5">
                  <c:v>16142.204313498114</c:v>
                </c:pt>
                <c:pt idx="6">
                  <c:v>32814.897985259558</c:v>
                </c:pt>
                <c:pt idx="7">
                  <c:v>22780.085126747115</c:v>
                </c:pt>
                <c:pt idx="8">
                  <c:v>16262.693769958754</c:v>
                </c:pt>
                <c:pt idx="9">
                  <c:v>24089.632523950506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62-4998-8CA7-FB3DE9C86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5779055"/>
        <c:axId val="577718815"/>
      </c:lineChart>
      <c:catAx>
        <c:axId val="635779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77718815"/>
        <c:crosses val="autoZero"/>
        <c:auto val="1"/>
        <c:lblAlgn val="ctr"/>
        <c:lblOffset val="100"/>
        <c:noMultiLvlLbl val="0"/>
      </c:catAx>
      <c:valAx>
        <c:axId val="577718815"/>
        <c:scaling>
          <c:orientation val="minMax"/>
        </c:scaling>
        <c:delete val="1"/>
        <c:axPos val="l"/>
        <c:numFmt formatCode="#\ ##0\ &quot;€&quot;" sourceLinked="1"/>
        <c:majorTickMark val="none"/>
        <c:minorTickMark val="none"/>
        <c:tickLblPos val="nextTo"/>
        <c:crossAx val="635779055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482600</xdr:colOff>
      <xdr:row>0</xdr:row>
      <xdr:rowOff>165100</xdr:rowOff>
    </xdr:from>
    <xdr:to>
      <xdr:col>3</xdr:col>
      <xdr:colOff>396081</xdr:colOff>
      <xdr:row>3</xdr:row>
      <xdr:rowOff>84138</xdr:rowOff>
    </xdr:to>
    <xdr:pic>
      <xdr:nvPicPr>
        <xdr:cNvPr id="2" name="Image 1" descr="Invest'Aide">
          <a:extLst>
            <a:ext uri="{FF2B5EF4-FFF2-40B4-BE49-F238E27FC236}">
              <a16:creationId xmlns:a16="http://schemas.microsoft.com/office/drawing/2014/main" id="{EE9570C4-B73C-1D49-A444-B60574C396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600" y="165100"/>
          <a:ext cx="2389981" cy="4524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444500</xdr:colOff>
      <xdr:row>2</xdr:row>
      <xdr:rowOff>12700</xdr:rowOff>
    </xdr:from>
    <xdr:to>
      <xdr:col>13</xdr:col>
      <xdr:colOff>63500</xdr:colOff>
      <xdr:row>7</xdr:row>
      <xdr:rowOff>38100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5505083B-2A45-3C14-6279-F4D56DF57C85}"/>
            </a:ext>
          </a:extLst>
        </xdr:cNvPr>
        <xdr:cNvSpPr/>
      </xdr:nvSpPr>
      <xdr:spPr>
        <a:xfrm>
          <a:off x="8966200" y="342900"/>
          <a:ext cx="3124200" cy="850900"/>
        </a:xfrm>
        <a:prstGeom prst="rect">
          <a:avLst/>
        </a:prstGeom>
        <a:solidFill>
          <a:srgbClr val="00206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600">
              <a:latin typeface="Arial" panose="020B0604020202020204" pitchFamily="34" charset="0"/>
              <a:cs typeface="Arial" panose="020B0604020202020204" pitchFamily="34" charset="0"/>
            </a:rPr>
            <a:t>L'onglet Paramètres n'est pas modifiable dans la version de démonstration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844548</xdr:colOff>
      <xdr:row>31</xdr:row>
      <xdr:rowOff>1</xdr:rowOff>
    </xdr:from>
    <xdr:to>
      <xdr:col>5</xdr:col>
      <xdr:colOff>1066800</xdr:colOff>
      <xdr:row>47</xdr:row>
      <xdr:rowOff>88901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365919</xdr:colOff>
      <xdr:row>0</xdr:row>
      <xdr:rowOff>127000</xdr:rowOff>
    </xdr:from>
    <xdr:to>
      <xdr:col>2</xdr:col>
      <xdr:colOff>360521</xdr:colOff>
      <xdr:row>3</xdr:row>
      <xdr:rowOff>142875</xdr:rowOff>
    </xdr:to>
    <xdr:pic>
      <xdr:nvPicPr>
        <xdr:cNvPr id="3" name="Image 2" descr="https://www.invest-aide.fr/wp-content/uploads/2018/07/invest-aide-1-e1532160441644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919" y="127000"/>
          <a:ext cx="2566352" cy="539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723900</xdr:colOff>
      <xdr:row>6</xdr:row>
      <xdr:rowOff>0</xdr:rowOff>
    </xdr:from>
    <xdr:to>
      <xdr:col>13</xdr:col>
      <xdr:colOff>431800</xdr:colOff>
      <xdr:row>20</xdr:row>
      <xdr:rowOff>152400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902E0416-511F-6140-8FBF-7D5B60B2B316}"/>
            </a:ext>
          </a:extLst>
        </xdr:cNvPr>
        <xdr:cNvSpPr/>
      </xdr:nvSpPr>
      <xdr:spPr>
        <a:xfrm>
          <a:off x="8534400" y="1092200"/>
          <a:ext cx="5842000" cy="2819400"/>
        </a:xfrm>
        <a:prstGeom prst="rect">
          <a:avLst/>
        </a:prstGeom>
        <a:solidFill>
          <a:srgbClr val="00206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600">
              <a:latin typeface="Arial" panose="020B0604020202020204" pitchFamily="34" charset="0"/>
              <a:cs typeface="Arial" panose="020B0604020202020204" pitchFamily="34" charset="0"/>
            </a:rPr>
            <a:t>L'onglet Emprunteur n'est pas modifiable dans la version de démonstration</a:t>
          </a:r>
          <a:r>
            <a:rPr lang="fr-FR" sz="1600" baseline="0">
              <a:latin typeface="Arial" panose="020B0604020202020204" pitchFamily="34" charset="0"/>
              <a:cs typeface="Arial" panose="020B0604020202020204" pitchFamily="34" charset="0"/>
            </a:rPr>
            <a:t> et l</a:t>
          </a:r>
          <a:r>
            <a:rPr lang="fr-FR" sz="1600">
              <a:latin typeface="Arial" panose="020B0604020202020204" pitchFamily="34" charset="0"/>
              <a:cs typeface="Arial" panose="020B0604020202020204" pitchFamily="34" charset="0"/>
            </a:rPr>
            <a:t>es formules</a:t>
          </a:r>
          <a:r>
            <a:rPr lang="fr-FR" sz="1600" baseline="0">
              <a:latin typeface="Arial" panose="020B0604020202020204" pitchFamily="34" charset="0"/>
              <a:cs typeface="Arial" panose="020B0604020202020204" pitchFamily="34" charset="0"/>
            </a:rPr>
            <a:t> ont été désactivées (les résultats ne dépendent plus des données entrées ici).</a:t>
          </a:r>
        </a:p>
        <a:p>
          <a:pPr algn="ctr"/>
          <a:endParaRPr lang="fr-FR" sz="16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fr-FR" sz="1600" baseline="0">
              <a:latin typeface="Arial" panose="020B0604020202020204" pitchFamily="34" charset="0"/>
              <a:cs typeface="Arial" panose="020B0604020202020204" pitchFamily="34" charset="0"/>
            </a:rPr>
            <a:t>Pour toutes vos simulations, la fiscalité calculée est celle d'un investisseur célibataire ayant un revenu net de 100k€.</a:t>
          </a:r>
        </a:p>
        <a:p>
          <a:pPr algn="ctr"/>
          <a:r>
            <a:rPr lang="fr-FR" sz="1600" baseline="0">
              <a:latin typeface="Arial" panose="020B0604020202020204" pitchFamily="34" charset="0"/>
              <a:cs typeface="Arial" panose="020B0604020202020204" pitchFamily="34" charset="0"/>
            </a:rPr>
            <a:t>Le ratio d'endettement est celui d'un investisseur ayant un loyer de résidence principale de 700€ et un investissement locatif en cours avec un crédit de 500€ et un loyer de 700€.</a:t>
          </a:r>
          <a:endParaRPr lang="fr-FR" sz="16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523875</xdr:colOff>
      <xdr:row>0</xdr:row>
      <xdr:rowOff>123031</xdr:rowOff>
    </xdr:from>
    <xdr:to>
      <xdr:col>2</xdr:col>
      <xdr:colOff>29262</xdr:colOff>
      <xdr:row>3</xdr:row>
      <xdr:rowOff>111125</xdr:rowOff>
    </xdr:to>
    <xdr:pic>
      <xdr:nvPicPr>
        <xdr:cNvPr id="7" name="Image 6" descr="https://www.invest-aide.fr/wp-content/uploads/2018/07/invest-aide-1-e1532160441644.png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23031"/>
          <a:ext cx="2357596" cy="511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31753</xdr:colOff>
      <xdr:row>36</xdr:row>
      <xdr:rowOff>10582</xdr:rowOff>
    </xdr:from>
    <xdr:to>
      <xdr:col>11</xdr:col>
      <xdr:colOff>857250</xdr:colOff>
      <xdr:row>47</xdr:row>
      <xdr:rowOff>0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FA322977-6BC0-1A4F-99E1-94C0713E11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328085</xdr:colOff>
      <xdr:row>51</xdr:row>
      <xdr:rowOff>157691</xdr:rowOff>
    </xdr:from>
    <xdr:to>
      <xdr:col>12</xdr:col>
      <xdr:colOff>338668</xdr:colOff>
      <xdr:row>66</xdr:row>
      <xdr:rowOff>138641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832901CA-124A-C74D-838C-F66D3D3DA1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</xdr:colOff>
      <xdr:row>18</xdr:row>
      <xdr:rowOff>80962</xdr:rowOff>
    </xdr:from>
    <xdr:to>
      <xdr:col>9</xdr:col>
      <xdr:colOff>750093</xdr:colOff>
      <xdr:row>46</xdr:row>
      <xdr:rowOff>119063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320675</xdr:colOff>
      <xdr:row>0</xdr:row>
      <xdr:rowOff>136525</xdr:rowOff>
    </xdr:from>
    <xdr:to>
      <xdr:col>2</xdr:col>
      <xdr:colOff>284321</xdr:colOff>
      <xdr:row>3</xdr:row>
      <xdr:rowOff>108743</xdr:rowOff>
    </xdr:to>
    <xdr:pic>
      <xdr:nvPicPr>
        <xdr:cNvPr id="3" name="Image 2" descr="https://www.invest-aide.fr/wp-content/uploads/2018/07/invest-aide-1-e1532160441644.pn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675" y="136525"/>
          <a:ext cx="2529046" cy="5056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277019</xdr:colOff>
      <xdr:row>0</xdr:row>
      <xdr:rowOff>88900</xdr:rowOff>
    </xdr:from>
    <xdr:to>
      <xdr:col>3</xdr:col>
      <xdr:colOff>313690</xdr:colOff>
      <xdr:row>3</xdr:row>
      <xdr:rowOff>25399</xdr:rowOff>
    </xdr:to>
    <xdr:pic>
      <xdr:nvPicPr>
        <xdr:cNvPr id="2" name="Image 1" descr="https://www.invest-aide.fr/wp-content/uploads/2018/07/invest-aide-1-e1532160441644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019" y="88900"/>
          <a:ext cx="2614771" cy="4698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15082</xdr:colOff>
      <xdr:row>0</xdr:row>
      <xdr:rowOff>87313</xdr:rowOff>
    </xdr:from>
    <xdr:to>
      <xdr:col>4</xdr:col>
      <xdr:colOff>13653</xdr:colOff>
      <xdr:row>3</xdr:row>
      <xdr:rowOff>79375</xdr:rowOff>
    </xdr:to>
    <xdr:pic>
      <xdr:nvPicPr>
        <xdr:cNvPr id="2" name="Image 1" descr="https://www.invest-aide.fr/wp-content/uploads/2018/07/invest-aide-1-e1532160441644.pn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207" y="87313"/>
          <a:ext cx="2617946" cy="5159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87</xdr:col>
      <xdr:colOff>635000</xdr:colOff>
      <xdr:row>6</xdr:row>
      <xdr:rowOff>63500</xdr:rowOff>
    </xdr:from>
    <xdr:to>
      <xdr:col>91</xdr:col>
      <xdr:colOff>809625</xdr:colOff>
      <xdr:row>14</xdr:row>
      <xdr:rowOff>47625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4C71609F-6D05-9F42-A8C7-9ED744EA324F}"/>
            </a:ext>
          </a:extLst>
        </xdr:cNvPr>
        <xdr:cNvSpPr/>
      </xdr:nvSpPr>
      <xdr:spPr>
        <a:xfrm>
          <a:off x="15763875" y="1397000"/>
          <a:ext cx="3667125" cy="1508125"/>
        </a:xfrm>
        <a:prstGeom prst="rect">
          <a:avLst/>
        </a:prstGeom>
        <a:solidFill>
          <a:srgbClr val="00206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600">
              <a:latin typeface="Arial" panose="020B0604020202020204" pitchFamily="34" charset="0"/>
              <a:cs typeface="Arial" panose="020B0604020202020204" pitchFamily="34" charset="0"/>
            </a:rPr>
            <a:t>La version de démonstration ne donne pas accès au détail du</a:t>
          </a:r>
          <a:r>
            <a:rPr lang="fr-FR" sz="1600" baseline="0">
              <a:latin typeface="Arial" panose="020B0604020202020204" pitchFamily="34" charset="0"/>
              <a:cs typeface="Arial" panose="020B0604020202020204" pitchFamily="34" charset="0"/>
            </a:rPr>
            <a:t> calcul de la fiscalité par dispositif fiscal.</a:t>
          </a:r>
          <a:endParaRPr lang="fr-FR" sz="16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go.invest-aide.fr/simulateur-rentabilit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2A95E-3E49-5242-9461-91EB9758D3C5}">
  <sheetPr>
    <tabColor theme="2"/>
  </sheetPr>
  <dimension ref="B6:F14"/>
  <sheetViews>
    <sheetView showGridLines="0" workbookViewId="0">
      <selection activeCell="G30" sqref="G30"/>
    </sheetView>
  </sheetViews>
  <sheetFormatPr baseColWidth="10" defaultColWidth="10.83203125" defaultRowHeight="14" x14ac:dyDescent="0.15"/>
  <cols>
    <col min="1" max="16384" width="10.83203125" style="107"/>
  </cols>
  <sheetData>
    <row r="6" spans="2:6" x14ac:dyDescent="0.15">
      <c r="B6" s="107" t="s">
        <v>210</v>
      </c>
    </row>
    <row r="7" spans="2:6" x14ac:dyDescent="0.15">
      <c r="B7" s="107" t="s">
        <v>211</v>
      </c>
    </row>
    <row r="8" spans="2:6" ht="15" x14ac:dyDescent="0.2">
      <c r="B8" s="107" t="s">
        <v>212</v>
      </c>
      <c r="F8" s="190" t="s">
        <v>213</v>
      </c>
    </row>
    <row r="10" spans="2:6" x14ac:dyDescent="0.15">
      <c r="B10" s="107" t="s">
        <v>0</v>
      </c>
    </row>
    <row r="11" spans="2:6" x14ac:dyDescent="0.15">
      <c r="B11" s="107" t="s">
        <v>1</v>
      </c>
    </row>
    <row r="12" spans="2:6" x14ac:dyDescent="0.15">
      <c r="B12" s="107" t="s">
        <v>2</v>
      </c>
    </row>
    <row r="14" spans="2:6" x14ac:dyDescent="0.15">
      <c r="B14" s="169" t="s">
        <v>3</v>
      </c>
    </row>
  </sheetData>
  <sheetProtection algorithmName="SHA-512" hashValue="abbw1TQEiOpcFK7hUCJ3Ozzk3JL+SP6kE0TC/yCDnGmOaBp8IczsAyN0FfYmKoot431GARssKyUWshnOrZ+YXQ==" saltValue="8A3Ot+6VmHr0o4NuIbLJQQ==" spinCount="100000" sheet="1" objects="1" scenarios="1" selectLockedCells="1"/>
  <hyperlinks>
    <hyperlink ref="F8" r:id="rId1" xr:uid="{B50C54CC-1879-F54D-A330-D13C22867F94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7">
    <tabColor theme="7" tint="0.79998168889431442"/>
  </sheetPr>
  <dimension ref="B2:M43"/>
  <sheetViews>
    <sheetView showGridLines="0" zoomScaleNormal="100" workbookViewId="0">
      <selection activeCell="C30" sqref="C30"/>
    </sheetView>
  </sheetViews>
  <sheetFormatPr baseColWidth="10" defaultColWidth="11.5" defaultRowHeight="13" x14ac:dyDescent="0.15"/>
  <cols>
    <col min="1" max="1" width="5.1640625" style="5" customWidth="1"/>
    <col min="2" max="2" width="18.6640625" style="5" customWidth="1"/>
    <col min="3" max="3" width="14.1640625" style="5" customWidth="1"/>
    <col min="4" max="4" width="23.5" style="5" customWidth="1"/>
    <col min="5" max="5" width="11.5" style="5"/>
    <col min="6" max="6" width="4.33203125" style="5" customWidth="1"/>
    <col min="7" max="16384" width="11.5" style="5"/>
  </cols>
  <sheetData>
    <row r="2" spans="2:13" x14ac:dyDescent="0.15">
      <c r="B2" s="19" t="s">
        <v>4</v>
      </c>
      <c r="C2" s="20"/>
      <c r="D2" s="20"/>
      <c r="E2" s="21"/>
      <c r="G2" s="19" t="s">
        <v>5</v>
      </c>
      <c r="H2" s="20"/>
      <c r="I2" s="21"/>
    </row>
    <row r="3" spans="2:13" x14ac:dyDescent="0.15">
      <c r="B3" s="9" t="s">
        <v>6</v>
      </c>
      <c r="C3" s="72">
        <v>0</v>
      </c>
      <c r="D3" s="69" t="s">
        <v>7</v>
      </c>
      <c r="E3" s="66">
        <v>0.1</v>
      </c>
      <c r="G3" s="84" t="s">
        <v>8</v>
      </c>
      <c r="H3" s="85" t="s">
        <v>9</v>
      </c>
      <c r="I3" s="40" t="s">
        <v>10</v>
      </c>
    </row>
    <row r="4" spans="2:13" x14ac:dyDescent="0.15">
      <c r="B4" s="6" t="s">
        <v>11</v>
      </c>
      <c r="C4" s="73">
        <f>1/40</f>
        <v>2.5000000000000001E-2</v>
      </c>
      <c r="D4" s="70" t="s">
        <v>12</v>
      </c>
      <c r="E4" s="67">
        <f>1-E3</f>
        <v>0.9</v>
      </c>
      <c r="F4" s="7"/>
      <c r="G4" s="27">
        <v>1</v>
      </c>
      <c r="H4" s="30">
        <v>0</v>
      </c>
      <c r="I4" s="30">
        <v>0</v>
      </c>
    </row>
    <row r="5" spans="2:13" x14ac:dyDescent="0.15">
      <c r="B5" s="6" t="s">
        <v>13</v>
      </c>
      <c r="C5" s="73">
        <f>1/15</f>
        <v>6.6666666666666666E-2</v>
      </c>
      <c r="D5" s="71" t="s">
        <v>14</v>
      </c>
      <c r="E5" s="68">
        <v>0.9</v>
      </c>
      <c r="G5" s="27">
        <f>G4+1</f>
        <v>2</v>
      </c>
      <c r="H5" s="30">
        <v>0</v>
      </c>
      <c r="I5" s="30">
        <f>I4</f>
        <v>0</v>
      </c>
    </row>
    <row r="6" spans="2:13" x14ac:dyDescent="0.15">
      <c r="B6" s="8" t="s">
        <v>15</v>
      </c>
      <c r="C6" s="74">
        <f>1/5</f>
        <v>0.2</v>
      </c>
      <c r="G6" s="27">
        <f t="shared" ref="G6:G33" si="0">G5+1</f>
        <v>3</v>
      </c>
      <c r="H6" s="30">
        <v>0</v>
      </c>
      <c r="I6" s="30">
        <f t="shared" ref="I6:I8" si="1">I5</f>
        <v>0</v>
      </c>
    </row>
    <row r="7" spans="2:13" x14ac:dyDescent="0.15">
      <c r="G7" s="27">
        <f t="shared" si="0"/>
        <v>4</v>
      </c>
      <c r="H7" s="30">
        <v>0</v>
      </c>
      <c r="I7" s="30">
        <f t="shared" si="1"/>
        <v>0</v>
      </c>
    </row>
    <row r="8" spans="2:13" x14ac:dyDescent="0.15">
      <c r="B8" s="19" t="s">
        <v>16</v>
      </c>
      <c r="C8" s="20"/>
      <c r="D8" s="20"/>
      <c r="E8" s="21"/>
      <c r="G8" s="27">
        <f t="shared" si="0"/>
        <v>5</v>
      </c>
      <c r="H8" s="30">
        <v>0</v>
      </c>
      <c r="I8" s="30">
        <f t="shared" si="1"/>
        <v>0</v>
      </c>
    </row>
    <row r="9" spans="2:13" x14ac:dyDescent="0.15">
      <c r="B9" s="23">
        <v>10777</v>
      </c>
      <c r="C9" s="29">
        <v>0</v>
      </c>
      <c r="D9" s="9" t="s">
        <v>17</v>
      </c>
      <c r="E9" s="29">
        <v>0.17199999999999999</v>
      </c>
      <c r="G9" s="27">
        <f t="shared" si="0"/>
        <v>6</v>
      </c>
      <c r="H9" s="30">
        <v>0.06</v>
      </c>
      <c r="I9" s="30">
        <v>1.6500000000000001E-2</v>
      </c>
    </row>
    <row r="10" spans="2:13" x14ac:dyDescent="0.15">
      <c r="B10" s="24">
        <v>27478</v>
      </c>
      <c r="C10" s="30">
        <v>0.11</v>
      </c>
      <c r="D10" s="6" t="s">
        <v>18</v>
      </c>
      <c r="E10" s="30">
        <v>0.19</v>
      </c>
      <c r="G10" s="27">
        <f t="shared" si="0"/>
        <v>7</v>
      </c>
      <c r="H10" s="30">
        <f>H9+6%</f>
        <v>0.12</v>
      </c>
      <c r="I10" s="30">
        <f>I9+1.65%</f>
        <v>3.3000000000000002E-2</v>
      </c>
    </row>
    <row r="11" spans="2:13" x14ac:dyDescent="0.15">
      <c r="B11" s="24">
        <v>78570</v>
      </c>
      <c r="C11" s="30">
        <v>0.3</v>
      </c>
      <c r="D11" s="6" t="s">
        <v>19</v>
      </c>
      <c r="E11" s="110">
        <v>1145</v>
      </c>
      <c r="G11" s="27">
        <f t="shared" si="0"/>
        <v>8</v>
      </c>
      <c r="H11" s="30">
        <f t="shared" ref="H11:H24" si="2">H10+6%</f>
        <v>0.18</v>
      </c>
      <c r="I11" s="30">
        <f t="shared" ref="I11:I24" si="3">I10+1.65%</f>
        <v>4.9500000000000002E-2</v>
      </c>
    </row>
    <row r="12" spans="2:13" x14ac:dyDescent="0.15">
      <c r="B12" s="24">
        <v>168994</v>
      </c>
      <c r="C12" s="30">
        <v>0.41</v>
      </c>
      <c r="D12" s="6" t="s">
        <v>20</v>
      </c>
      <c r="E12" s="30">
        <v>0.4</v>
      </c>
      <c r="G12" s="27">
        <f t="shared" si="0"/>
        <v>9</v>
      </c>
      <c r="H12" s="30">
        <f t="shared" si="2"/>
        <v>0.24</v>
      </c>
      <c r="I12" s="30">
        <f t="shared" si="3"/>
        <v>6.6000000000000003E-2</v>
      </c>
    </row>
    <row r="13" spans="2:13" x14ac:dyDescent="0.15">
      <c r="B13" s="25">
        <v>100000000</v>
      </c>
      <c r="C13" s="31">
        <v>0.45</v>
      </c>
      <c r="D13" s="8" t="s">
        <v>21</v>
      </c>
      <c r="E13" s="112">
        <v>1678</v>
      </c>
      <c r="G13" s="27">
        <f t="shared" si="0"/>
        <v>10</v>
      </c>
      <c r="H13" s="30">
        <f t="shared" si="2"/>
        <v>0.3</v>
      </c>
      <c r="I13" s="30">
        <f t="shared" si="3"/>
        <v>8.2500000000000004E-2</v>
      </c>
    </row>
    <row r="14" spans="2:13" x14ac:dyDescent="0.15">
      <c r="G14" s="27">
        <f t="shared" si="0"/>
        <v>11</v>
      </c>
      <c r="H14" s="30">
        <f t="shared" si="2"/>
        <v>0.36</v>
      </c>
      <c r="I14" s="30">
        <f t="shared" si="3"/>
        <v>9.9000000000000005E-2</v>
      </c>
    </row>
    <row r="15" spans="2:13" x14ac:dyDescent="0.15">
      <c r="G15" s="27">
        <f t="shared" si="0"/>
        <v>12</v>
      </c>
      <c r="H15" s="30">
        <f t="shared" si="2"/>
        <v>0.42</v>
      </c>
      <c r="I15" s="30">
        <f t="shared" si="3"/>
        <v>0.11550000000000001</v>
      </c>
      <c r="M15" s="47"/>
    </row>
    <row r="16" spans="2:13" x14ac:dyDescent="0.15">
      <c r="B16" s="19" t="s">
        <v>22</v>
      </c>
      <c r="C16" s="20"/>
      <c r="D16" s="20"/>
      <c r="E16" s="21"/>
      <c r="G16" s="27">
        <f t="shared" si="0"/>
        <v>13</v>
      </c>
      <c r="H16" s="30">
        <f t="shared" si="2"/>
        <v>0.48</v>
      </c>
      <c r="I16" s="30">
        <f t="shared" si="3"/>
        <v>0.13200000000000001</v>
      </c>
    </row>
    <row r="17" spans="2:9" x14ac:dyDescent="0.15">
      <c r="B17" s="23">
        <v>38120</v>
      </c>
      <c r="C17" s="29">
        <v>0.15</v>
      </c>
      <c r="D17" s="23" t="s">
        <v>23</v>
      </c>
      <c r="E17" s="29">
        <v>0</v>
      </c>
      <c r="G17" s="27">
        <f t="shared" si="0"/>
        <v>14</v>
      </c>
      <c r="H17" s="30">
        <f t="shared" si="2"/>
        <v>0.54</v>
      </c>
      <c r="I17" s="30">
        <f t="shared" si="3"/>
        <v>0.14850000000000002</v>
      </c>
    </row>
    <row r="18" spans="2:9" x14ac:dyDescent="0.15">
      <c r="B18" s="24">
        <v>100000</v>
      </c>
      <c r="C18" s="30">
        <v>0.25</v>
      </c>
      <c r="D18" s="25" t="s">
        <v>24</v>
      </c>
      <c r="E18" s="31">
        <v>0.3</v>
      </c>
      <c r="G18" s="27">
        <f t="shared" si="0"/>
        <v>15</v>
      </c>
      <c r="H18" s="30">
        <f t="shared" si="2"/>
        <v>0.60000000000000009</v>
      </c>
      <c r="I18" s="30">
        <f t="shared" si="3"/>
        <v>0.16500000000000004</v>
      </c>
    </row>
    <row r="19" spans="2:9" x14ac:dyDescent="0.15">
      <c r="B19" s="25">
        <v>100000000</v>
      </c>
      <c r="C19" s="31">
        <v>0.25</v>
      </c>
      <c r="D19" s="8" t="s">
        <v>25</v>
      </c>
      <c r="E19" s="26">
        <v>10700</v>
      </c>
      <c r="G19" s="27">
        <f t="shared" si="0"/>
        <v>16</v>
      </c>
      <c r="H19" s="30">
        <f t="shared" si="2"/>
        <v>0.66000000000000014</v>
      </c>
      <c r="I19" s="30">
        <f t="shared" si="3"/>
        <v>0.18150000000000005</v>
      </c>
    </row>
    <row r="20" spans="2:9" x14ac:dyDescent="0.15">
      <c r="G20" s="27">
        <f t="shared" si="0"/>
        <v>17</v>
      </c>
      <c r="H20" s="30">
        <f t="shared" si="2"/>
        <v>0.7200000000000002</v>
      </c>
      <c r="I20" s="30">
        <f t="shared" si="3"/>
        <v>0.19800000000000006</v>
      </c>
    </row>
    <row r="21" spans="2:9" x14ac:dyDescent="0.15">
      <c r="B21" s="19" t="s">
        <v>26</v>
      </c>
      <c r="C21" s="21"/>
      <c r="G21" s="27">
        <f t="shared" si="0"/>
        <v>18</v>
      </c>
      <c r="H21" s="30">
        <f t="shared" si="2"/>
        <v>0.78000000000000025</v>
      </c>
      <c r="I21" s="30">
        <f t="shared" si="3"/>
        <v>0.21450000000000008</v>
      </c>
    </row>
    <row r="22" spans="2:9" x14ac:dyDescent="0.15">
      <c r="B22" s="8" t="s">
        <v>27</v>
      </c>
      <c r="C22" s="22">
        <v>0.7</v>
      </c>
      <c r="G22" s="27">
        <f t="shared" si="0"/>
        <v>19</v>
      </c>
      <c r="H22" s="30">
        <f t="shared" si="2"/>
        <v>0.8400000000000003</v>
      </c>
      <c r="I22" s="30">
        <f t="shared" si="3"/>
        <v>0.23100000000000009</v>
      </c>
    </row>
    <row r="23" spans="2:9" x14ac:dyDescent="0.15">
      <c r="G23" s="27">
        <f t="shared" si="0"/>
        <v>20</v>
      </c>
      <c r="H23" s="30">
        <f t="shared" si="2"/>
        <v>0.90000000000000036</v>
      </c>
      <c r="I23" s="30">
        <f t="shared" si="3"/>
        <v>0.24750000000000011</v>
      </c>
    </row>
    <row r="24" spans="2:9" x14ac:dyDescent="0.15">
      <c r="B24" s="19" t="s">
        <v>28</v>
      </c>
      <c r="C24" s="21"/>
      <c r="G24" s="27">
        <f t="shared" si="0"/>
        <v>21</v>
      </c>
      <c r="H24" s="30">
        <f t="shared" si="2"/>
        <v>0.96000000000000041</v>
      </c>
      <c r="I24" s="30">
        <f t="shared" si="3"/>
        <v>0.26400000000000012</v>
      </c>
    </row>
    <row r="25" spans="2:9" x14ac:dyDescent="0.15">
      <c r="B25" s="9" t="s">
        <v>29</v>
      </c>
      <c r="C25" s="111">
        <v>300000</v>
      </c>
      <c r="G25" s="27">
        <f t="shared" si="0"/>
        <v>22</v>
      </c>
      <c r="H25" s="30">
        <v>1</v>
      </c>
      <c r="I25" s="30">
        <f>I24+1.6%</f>
        <v>0.28000000000000014</v>
      </c>
    </row>
    <row r="26" spans="2:9" x14ac:dyDescent="0.15">
      <c r="B26" s="6" t="s">
        <v>30</v>
      </c>
      <c r="C26" s="110">
        <v>5500</v>
      </c>
      <c r="G26" s="27">
        <f t="shared" si="0"/>
        <v>23</v>
      </c>
      <c r="H26" s="30">
        <f>H25</f>
        <v>1</v>
      </c>
      <c r="I26" s="30">
        <f>I25+9%</f>
        <v>0.37000000000000011</v>
      </c>
    </row>
    <row r="27" spans="2:9" x14ac:dyDescent="0.15">
      <c r="B27" s="34" t="s">
        <v>31</v>
      </c>
      <c r="C27" s="35"/>
      <c r="G27" s="27">
        <f t="shared" si="0"/>
        <v>24</v>
      </c>
      <c r="H27" s="30">
        <f t="shared" ref="H27:H33" si="4">H26</f>
        <v>1</v>
      </c>
      <c r="I27" s="30">
        <f t="shared" ref="I27:I33" si="5">I26+9%</f>
        <v>0.46000000000000008</v>
      </c>
    </row>
    <row r="28" spans="2:9" x14ac:dyDescent="0.15">
      <c r="B28" s="27">
        <v>1</v>
      </c>
      <c r="C28" s="30">
        <f>10.5%/6</f>
        <v>1.7499999999999998E-2</v>
      </c>
      <c r="G28" s="27">
        <f t="shared" si="0"/>
        <v>25</v>
      </c>
      <c r="H28" s="30">
        <f t="shared" si="4"/>
        <v>1</v>
      </c>
      <c r="I28" s="30">
        <f t="shared" si="5"/>
        <v>0.55000000000000004</v>
      </c>
    </row>
    <row r="29" spans="2:9" x14ac:dyDescent="0.15">
      <c r="B29" s="27">
        <v>2</v>
      </c>
      <c r="C29" s="30">
        <f t="shared" ref="C29:C33" si="6">10.5%/6</f>
        <v>1.7499999999999998E-2</v>
      </c>
      <c r="G29" s="27">
        <f t="shared" si="0"/>
        <v>26</v>
      </c>
      <c r="H29" s="30">
        <f t="shared" si="4"/>
        <v>1</v>
      </c>
      <c r="I29" s="30">
        <f t="shared" si="5"/>
        <v>0.64</v>
      </c>
    </row>
    <row r="30" spans="2:9" x14ac:dyDescent="0.15">
      <c r="B30" s="27">
        <v>3</v>
      </c>
      <c r="C30" s="30">
        <f t="shared" si="6"/>
        <v>1.7499999999999998E-2</v>
      </c>
      <c r="G30" s="27">
        <f t="shared" si="0"/>
        <v>27</v>
      </c>
      <c r="H30" s="30">
        <f t="shared" si="4"/>
        <v>1</v>
      </c>
      <c r="I30" s="30">
        <f t="shared" si="5"/>
        <v>0.73</v>
      </c>
    </row>
    <row r="31" spans="2:9" x14ac:dyDescent="0.15">
      <c r="B31" s="27">
        <v>4</v>
      </c>
      <c r="C31" s="30">
        <f t="shared" si="6"/>
        <v>1.7499999999999998E-2</v>
      </c>
      <c r="G31" s="27">
        <f t="shared" si="0"/>
        <v>28</v>
      </c>
      <c r="H31" s="30">
        <f t="shared" si="4"/>
        <v>1</v>
      </c>
      <c r="I31" s="30">
        <f t="shared" si="5"/>
        <v>0.82</v>
      </c>
    </row>
    <row r="32" spans="2:9" x14ac:dyDescent="0.15">
      <c r="B32" s="27">
        <v>5</v>
      </c>
      <c r="C32" s="30">
        <f t="shared" si="6"/>
        <v>1.7499999999999998E-2</v>
      </c>
      <c r="G32" s="27">
        <f t="shared" si="0"/>
        <v>29</v>
      </c>
      <c r="H32" s="30">
        <f t="shared" si="4"/>
        <v>1</v>
      </c>
      <c r="I32" s="30">
        <f t="shared" si="5"/>
        <v>0.90999999999999992</v>
      </c>
    </row>
    <row r="33" spans="2:9" x14ac:dyDescent="0.15">
      <c r="B33" s="27">
        <v>6</v>
      </c>
      <c r="C33" s="30">
        <f t="shared" si="6"/>
        <v>1.7499999999999998E-2</v>
      </c>
      <c r="G33" s="28">
        <f t="shared" si="0"/>
        <v>30</v>
      </c>
      <c r="H33" s="31">
        <f t="shared" si="4"/>
        <v>1</v>
      </c>
      <c r="I33" s="31">
        <f t="shared" si="5"/>
        <v>0.99999999999999989</v>
      </c>
    </row>
    <row r="34" spans="2:9" x14ac:dyDescent="0.15">
      <c r="B34" s="27">
        <v>7</v>
      </c>
      <c r="C34" s="30">
        <f>4.5%/3</f>
        <v>1.4999999999999999E-2</v>
      </c>
    </row>
    <row r="35" spans="2:9" x14ac:dyDescent="0.15">
      <c r="B35" s="27">
        <v>8</v>
      </c>
      <c r="C35" s="30">
        <f t="shared" ref="C35:C36" si="7">4.5%/3</f>
        <v>1.4999999999999999E-2</v>
      </c>
    </row>
    <row r="36" spans="2:9" x14ac:dyDescent="0.15">
      <c r="B36" s="27">
        <v>9</v>
      </c>
      <c r="C36" s="30">
        <f t="shared" si="7"/>
        <v>1.4999999999999999E-2</v>
      </c>
    </row>
    <row r="37" spans="2:9" x14ac:dyDescent="0.15">
      <c r="B37" s="27">
        <v>10</v>
      </c>
      <c r="C37" s="30">
        <f>2.5%/3</f>
        <v>8.3333333333333332E-3</v>
      </c>
    </row>
    <row r="38" spans="2:9" x14ac:dyDescent="0.15">
      <c r="B38" s="27">
        <v>11</v>
      </c>
      <c r="C38" s="30">
        <f t="shared" ref="C38:C39" si="8">2.5%/3</f>
        <v>8.3333333333333332E-3</v>
      </c>
    </row>
    <row r="39" spans="2:9" x14ac:dyDescent="0.15">
      <c r="B39" s="28">
        <v>12</v>
      </c>
      <c r="C39" s="31">
        <f t="shared" si="8"/>
        <v>8.3333333333333332E-3</v>
      </c>
    </row>
    <row r="41" spans="2:9" x14ac:dyDescent="0.15">
      <c r="B41" s="19" t="s">
        <v>32</v>
      </c>
      <c r="C41" s="21" t="s">
        <v>33</v>
      </c>
    </row>
    <row r="42" spans="2:9" x14ac:dyDescent="0.15">
      <c r="B42" s="9" t="s">
        <v>34</v>
      </c>
      <c r="C42" s="33">
        <v>1</v>
      </c>
    </row>
    <row r="43" spans="2:9" x14ac:dyDescent="0.15">
      <c r="B43" s="8" t="s">
        <v>35</v>
      </c>
      <c r="C43" s="32">
        <v>2</v>
      </c>
    </row>
  </sheetData>
  <sheetProtection algorithmName="SHA-512" hashValue="TRhJuExAoNF2ozKhjZQzU3ZgR/R1PcKlJUmS97LZ5UyY9giEReIAGqeySaEI+5cC4/CJdmH5HSssZkv9I0DSIw==" saltValue="j22Y9FGE0i1z80MQMHWIww==" spinCount="100000" sheet="1" objects="1" scenarios="1" selectLockedCells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6">
    <tabColor theme="4" tint="0.39997558519241921"/>
  </sheetPr>
  <dimension ref="B1:G35"/>
  <sheetViews>
    <sheetView showGridLines="0" zoomScaleNormal="100" workbookViewId="0">
      <selection activeCell="F8" sqref="F8"/>
    </sheetView>
  </sheetViews>
  <sheetFormatPr baseColWidth="10" defaultColWidth="11.5" defaultRowHeight="15" x14ac:dyDescent="0.2"/>
  <cols>
    <col min="1" max="1" width="5.1640625" customWidth="1"/>
    <col min="2" max="2" width="28.5" customWidth="1"/>
    <col min="3" max="3" width="21.6640625" customWidth="1"/>
    <col min="4" max="4" width="1.6640625" customWidth="1"/>
    <col min="5" max="5" width="24.6640625" customWidth="1"/>
    <col min="6" max="6" width="20.83203125" customWidth="1"/>
  </cols>
  <sheetData>
    <row r="1" spans="2:6" s="1" customFormat="1" ht="14" x14ac:dyDescent="0.15"/>
    <row r="2" spans="2:6" s="1" customFormat="1" ht="14" x14ac:dyDescent="0.15">
      <c r="C2" s="49" t="s">
        <v>36</v>
      </c>
      <c r="E2" s="10" t="s">
        <v>37</v>
      </c>
    </row>
    <row r="3" spans="2:6" s="1" customFormat="1" ht="14" x14ac:dyDescent="0.15">
      <c r="C3" s="48"/>
      <c r="E3" s="11" t="s">
        <v>38</v>
      </c>
    </row>
    <row r="4" spans="2:6" s="1" customFormat="1" ht="14" x14ac:dyDescent="0.15">
      <c r="E4" s="12" t="s">
        <v>39</v>
      </c>
    </row>
    <row r="6" spans="2:6" x14ac:dyDescent="0.2">
      <c r="B6" s="58" t="s">
        <v>40</v>
      </c>
      <c r="C6" s="57"/>
      <c r="E6" s="58" t="s">
        <v>41</v>
      </c>
      <c r="F6" s="57"/>
    </row>
    <row r="7" spans="2:6" x14ac:dyDescent="0.2">
      <c r="B7" s="9" t="s">
        <v>42</v>
      </c>
      <c r="C7" s="111">
        <v>100000</v>
      </c>
      <c r="E7" s="6" t="str">
        <f>B7</f>
        <v>Traitements et salaires nets</v>
      </c>
      <c r="F7" s="67">
        <v>0.01</v>
      </c>
    </row>
    <row r="8" spans="2:6" x14ac:dyDescent="0.2">
      <c r="B8" s="6" t="s">
        <v>43</v>
      </c>
      <c r="C8" s="110">
        <v>0</v>
      </c>
      <c r="E8" s="6" t="str">
        <f>B8</f>
        <v>Revenus fonciers nets</v>
      </c>
      <c r="F8" s="67">
        <v>0.01</v>
      </c>
    </row>
    <row r="9" spans="2:6" x14ac:dyDescent="0.2">
      <c r="B9" s="6" t="s">
        <v>44</v>
      </c>
      <c r="C9" s="110">
        <v>0</v>
      </c>
      <c r="E9" s="6" t="str">
        <f>B9</f>
        <v>Revenus BIC nets (LMNP)</v>
      </c>
      <c r="F9" s="67">
        <v>0.01</v>
      </c>
    </row>
    <row r="10" spans="2:6" x14ac:dyDescent="0.2">
      <c r="B10" s="6" t="s">
        <v>45</v>
      </c>
      <c r="C10" s="110">
        <v>0</v>
      </c>
      <c r="E10" s="8" t="str">
        <f>B10</f>
        <v>Revenus BIC nets (LMP)</v>
      </c>
      <c r="F10" s="68">
        <v>0.01</v>
      </c>
    </row>
    <row r="11" spans="2:6" x14ac:dyDescent="0.2">
      <c r="B11" s="59" t="s">
        <v>46</v>
      </c>
      <c r="C11" s="159">
        <f>C7+C8+MAX(C9,0)+C10</f>
        <v>100000</v>
      </c>
    </row>
    <row r="12" spans="2:6" x14ac:dyDescent="0.2">
      <c r="B12" s="5"/>
      <c r="C12" s="5"/>
    </row>
    <row r="13" spans="2:6" x14ac:dyDescent="0.2">
      <c r="B13" s="60" t="s">
        <v>47</v>
      </c>
      <c r="C13" s="57"/>
      <c r="E13" s="58" t="s">
        <v>48</v>
      </c>
      <c r="F13" s="57"/>
    </row>
    <row r="14" spans="2:6" x14ac:dyDescent="0.2">
      <c r="B14" s="9" t="s">
        <v>32</v>
      </c>
      <c r="C14" s="61" t="s">
        <v>34</v>
      </c>
      <c r="E14" s="9" t="s">
        <v>49</v>
      </c>
      <c r="F14" s="111">
        <v>700</v>
      </c>
    </row>
    <row r="15" spans="2:6" x14ac:dyDescent="0.2">
      <c r="B15" s="6" t="s">
        <v>50</v>
      </c>
      <c r="C15" s="62">
        <v>0</v>
      </c>
      <c r="E15" s="8" t="s">
        <v>51</v>
      </c>
      <c r="F15" s="112">
        <v>0</v>
      </c>
    </row>
    <row r="16" spans="2:6" x14ac:dyDescent="0.2">
      <c r="B16" s="6" t="s">
        <v>52</v>
      </c>
      <c r="C16" s="63">
        <f>VLOOKUP(C14,Paramètres!B41:C43,2,FALSE)+MIN(C15,2)*0.5+MAX(C15-2,0)+IF(AND(C14=Paramètres!B42,C15=1),0.5,0)</f>
        <v>1</v>
      </c>
    </row>
    <row r="17" spans="2:7" x14ac:dyDescent="0.2">
      <c r="B17" s="6" t="s">
        <v>53</v>
      </c>
      <c r="C17" s="63">
        <f>VLOOKUP(C14,Paramètres!B41:C43,2,FALSE)</f>
        <v>1</v>
      </c>
      <c r="E17" s="58" t="s">
        <v>54</v>
      </c>
      <c r="F17" s="81"/>
    </row>
    <row r="18" spans="2:7" x14ac:dyDescent="0.2">
      <c r="B18" s="6" t="s">
        <v>55</v>
      </c>
      <c r="C18" s="54">
        <f>(MAX(MIN(Paramètres!$B$9,C11/C16),0)*Paramètres!$C$9+MAX(MIN(Paramètres!$B$10,C11/C16)-Paramètres!$B$9,0)*Paramètres!$C$10+MAX(MIN(Paramètres!$B$11,C11/C16)-Paramètres!$B$10,0)*Paramètres!$C$11+MAX(MIN(Paramètres!$B$12,C11/C16)-Paramètres!$B$11,0)*Paramètres!$C$12+MAX(MIN(Paramètres!$B$13,C11/C16)-Paramètres!$B$12,0)*Paramètres!$C$13)*C16</f>
        <v>25951.01</v>
      </c>
      <c r="E18" s="84" t="s">
        <v>56</v>
      </c>
      <c r="F18" s="85" t="s">
        <v>57</v>
      </c>
    </row>
    <row r="19" spans="2:7" x14ac:dyDescent="0.2">
      <c r="B19" s="8" t="s">
        <v>58</v>
      </c>
      <c r="C19" s="55">
        <f>(MAX(MIN(Paramètres!$B$9,C11/C17),0)*Paramètres!$C$9+MAX(MIN(Paramètres!$B$10,C11/C17)-Paramètres!$B$9,0)*Paramètres!$C$10+MAX(MIN(Paramètres!$B$11,C11/C17)-Paramètres!$B$10,0)*Paramètres!$C$11+MAX(MIN(Paramètres!$B$12,C11/C17)-Paramètres!$B$11,0)*Paramètres!$C$12+MAX(MIN(Paramètres!$B$13,C11/C17)-Paramètres!$B$12,0)*Paramètres!$C$13)*C17</f>
        <v>25951.01</v>
      </c>
      <c r="E19" s="148">
        <v>500</v>
      </c>
      <c r="F19" s="110">
        <v>700</v>
      </c>
    </row>
    <row r="20" spans="2:7" x14ac:dyDescent="0.2">
      <c r="B20" s="64" t="s">
        <v>59</v>
      </c>
      <c r="C20" s="162">
        <f>MAX(C18,C19-Paramètres!E13*(C16-C17)*2)</f>
        <v>25951.01</v>
      </c>
      <c r="E20" s="148"/>
      <c r="F20" s="110"/>
    </row>
    <row r="21" spans="2:7" x14ac:dyDescent="0.2">
      <c r="B21" s="59" t="s">
        <v>17</v>
      </c>
      <c r="C21" s="159">
        <f>MAX(C8,0)*Paramètres!E9</f>
        <v>0</v>
      </c>
      <c r="E21" s="148"/>
      <c r="F21" s="110"/>
    </row>
    <row r="22" spans="2:7" x14ac:dyDescent="0.2">
      <c r="B22" s="5"/>
      <c r="C22" s="5"/>
      <c r="E22" s="148"/>
      <c r="F22" s="110"/>
    </row>
    <row r="23" spans="2:7" x14ac:dyDescent="0.2">
      <c r="B23" s="58" t="s">
        <v>60</v>
      </c>
      <c r="C23" s="81"/>
      <c r="E23" s="148"/>
      <c r="F23" s="110"/>
    </row>
    <row r="24" spans="2:7" x14ac:dyDescent="0.2">
      <c r="B24" s="84" t="s">
        <v>61</v>
      </c>
      <c r="C24" s="85" t="s">
        <v>62</v>
      </c>
      <c r="E24" s="148"/>
      <c r="F24" s="110"/>
    </row>
    <row r="25" spans="2:7" x14ac:dyDescent="0.2">
      <c r="B25" s="128">
        <f>VLOOKUP(Simulation!F12+1,'Détail trésorerie'!B:G,6,FALSE)</f>
        <v>860.8610094454034</v>
      </c>
      <c r="C25" s="55">
        <f>Paramètres!$C$22*Simulation!C17</f>
        <v>700</v>
      </c>
      <c r="E25" s="160">
        <f>SUM(E19:E24)</f>
        <v>500</v>
      </c>
      <c r="F25" s="161">
        <f>SUM(F19:F24)*Paramètres!$C$22</f>
        <v>489.99999999999994</v>
      </c>
    </row>
    <row r="27" spans="2:7" x14ac:dyDescent="0.2">
      <c r="B27" s="60" t="s">
        <v>63</v>
      </c>
      <c r="C27" s="65" t="s">
        <v>64</v>
      </c>
      <c r="D27" s="75"/>
      <c r="E27" s="65" t="s">
        <v>65</v>
      </c>
      <c r="F27" s="57" t="s">
        <v>66</v>
      </c>
    </row>
    <row r="28" spans="2:7" x14ac:dyDescent="0.2">
      <c r="B28" s="6" t="s">
        <v>67</v>
      </c>
      <c r="C28" s="79">
        <f>SUM(F14:F15,E25)/(C11/12+F25)</f>
        <v>0.13600302228938421</v>
      </c>
      <c r="E28" s="86">
        <f>SUM(F14:F15,E25,B25)/(C11/12+F25+C25)</f>
        <v>0.21640122605306999</v>
      </c>
      <c r="F28" s="77">
        <f>E28-C28</f>
        <v>8.0398203763685783E-2</v>
      </c>
    </row>
    <row r="29" spans="2:7" x14ac:dyDescent="0.2">
      <c r="B29" s="8" t="s">
        <v>68</v>
      </c>
      <c r="C29" s="80">
        <f>(C11/12+F25)-SUM(F14:F15,E25)</f>
        <v>7623.3333333333339</v>
      </c>
      <c r="D29" s="83"/>
      <c r="E29" s="87">
        <f>(C11/12+F25+C25)-SUM(F14:F15,E25,B25)</f>
        <v>7462.4723238879305</v>
      </c>
      <c r="F29" s="78">
        <f>E29-C29</f>
        <v>-160.8610094454034</v>
      </c>
    </row>
    <row r="30" spans="2:7" x14ac:dyDescent="0.2">
      <c r="B30" s="103"/>
    </row>
    <row r="31" spans="2:7" x14ac:dyDescent="0.2">
      <c r="B31" s="96"/>
      <c r="C31" s="96"/>
      <c r="D31" s="96" t="str">
        <f>C27</f>
        <v>Avant</v>
      </c>
      <c r="E31" s="96" t="str">
        <f>E27</f>
        <v>Après</v>
      </c>
      <c r="F31" s="96"/>
      <c r="G31" s="82"/>
    </row>
    <row r="32" spans="2:7" x14ac:dyDescent="0.2">
      <c r="B32" s="96" t="str">
        <f>B28</f>
        <v>Taux d'endettement classique</v>
      </c>
      <c r="C32" s="96"/>
      <c r="D32" s="97">
        <f>C28</f>
        <v>0.13600302228938421</v>
      </c>
      <c r="E32" s="97">
        <f>E28</f>
        <v>0.21640122605306999</v>
      </c>
      <c r="F32" s="98"/>
    </row>
    <row r="33" spans="2:6" x14ac:dyDescent="0.2">
      <c r="B33" s="96" t="e">
        <f>#REF!</f>
        <v>#REF!</v>
      </c>
      <c r="C33" s="96"/>
      <c r="D33" s="97" t="e">
        <f>#REF!</f>
        <v>#REF!</v>
      </c>
      <c r="E33" s="97" t="e">
        <f>#REF!</f>
        <v>#REF!</v>
      </c>
      <c r="F33" s="96"/>
    </row>
    <row r="34" spans="2:6" x14ac:dyDescent="0.2">
      <c r="B34" s="99" t="s">
        <v>69</v>
      </c>
      <c r="C34" s="98">
        <v>0.33</v>
      </c>
      <c r="D34" s="100">
        <v>0.33</v>
      </c>
      <c r="E34" s="100">
        <v>0.33</v>
      </c>
      <c r="F34" s="98">
        <v>0.33</v>
      </c>
    </row>
    <row r="35" spans="2:6" x14ac:dyDescent="0.2">
      <c r="B35" s="99" t="s">
        <v>70</v>
      </c>
      <c r="C35" s="98">
        <v>7.0000000000000007E-2</v>
      </c>
      <c r="D35" s="100">
        <v>7.0000000000000007E-2</v>
      </c>
      <c r="E35" s="100">
        <v>7.0000000000000007E-2</v>
      </c>
      <c r="F35" s="98">
        <v>7.0000000000000007E-2</v>
      </c>
    </row>
  </sheetData>
  <sheetProtection algorithmName="SHA-512" hashValue="K87zW8eX0lAjsF37uU2pAkoo+sC6JEcCz3ltColy12G81QO32Nm5RnERHdmI3o8dBcph/tVpIQpBLgyiwUEPeg==" saltValue="AEHwBT474znmSikeF9xt/A==" spinCount="100000" sheet="1" objects="1" scenarios="1" selectLockedCells="1"/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Paramètres!$B$42:$B$43</xm:f>
          </x14:formula1>
          <xm:sqref>C14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3">
    <tabColor theme="4" tint="0.39997558519241921"/>
    <pageSetUpPr fitToPage="1"/>
  </sheetPr>
  <dimension ref="A2:V392"/>
  <sheetViews>
    <sheetView showGridLines="0" tabSelected="1" zoomScaleNormal="100" workbookViewId="0">
      <selection activeCell="F11" sqref="F11"/>
    </sheetView>
  </sheetViews>
  <sheetFormatPr baseColWidth="10" defaultColWidth="11.5" defaultRowHeight="14" x14ac:dyDescent="0.15"/>
  <cols>
    <col min="1" max="1" width="7.6640625" style="191" customWidth="1"/>
    <col min="2" max="2" width="29.6640625" style="191" customWidth="1"/>
    <col min="3" max="3" width="16.6640625" style="191" customWidth="1"/>
    <col min="4" max="4" width="3" style="191" customWidth="1"/>
    <col min="5" max="5" width="22.33203125" style="191" customWidth="1"/>
    <col min="6" max="6" width="20.83203125" style="191" customWidth="1"/>
    <col min="7" max="7" width="2.83203125" style="191" customWidth="1"/>
    <col min="8" max="8" width="12.33203125" style="191" customWidth="1"/>
    <col min="9" max="9" width="11.5" style="191" customWidth="1"/>
    <col min="10" max="10" width="10.5" style="191" customWidth="1"/>
    <col min="11" max="11" width="12.33203125" style="191" customWidth="1"/>
    <col min="12" max="12" width="13" style="194" customWidth="1"/>
    <col min="13" max="13" width="11.33203125" style="194" customWidth="1"/>
    <col min="14" max="14" width="12" style="194" customWidth="1"/>
    <col min="15" max="15" width="14" style="194" bestFit="1" customWidth="1"/>
    <col min="16" max="16" width="13.33203125" style="191" bestFit="1" customWidth="1"/>
    <col min="17" max="20" width="13.33203125" style="191" customWidth="1"/>
    <col min="21" max="16384" width="11.5" style="191"/>
  </cols>
  <sheetData>
    <row r="2" spans="1:20" x14ac:dyDescent="0.15">
      <c r="C2" s="192" t="str">
        <f>Emprunteur!C2</f>
        <v>v3.3</v>
      </c>
      <c r="E2" s="193" t="s">
        <v>37</v>
      </c>
      <c r="P2" s="194"/>
    </row>
    <row r="3" spans="1:20" x14ac:dyDescent="0.15">
      <c r="C3" s="195"/>
      <c r="E3" s="196" t="s">
        <v>38</v>
      </c>
      <c r="I3" s="197"/>
      <c r="J3" s="197"/>
      <c r="K3" s="197"/>
      <c r="L3" s="197"/>
      <c r="M3" s="197"/>
      <c r="N3" s="197"/>
      <c r="O3" s="197"/>
      <c r="P3" s="197"/>
    </row>
    <row r="4" spans="1:20" x14ac:dyDescent="0.15">
      <c r="E4" s="198" t="s">
        <v>39</v>
      </c>
      <c r="I4" s="197"/>
      <c r="J4" s="197"/>
      <c r="K4" s="197"/>
      <c r="L4" s="197"/>
      <c r="M4" s="197"/>
      <c r="N4" s="197"/>
      <c r="O4" s="197"/>
      <c r="P4" s="197"/>
      <c r="Q4" s="199" t="s">
        <v>71</v>
      </c>
      <c r="R4" s="200"/>
    </row>
    <row r="5" spans="1:20" x14ac:dyDescent="0.15">
      <c r="E5" s="194"/>
      <c r="I5" s="197"/>
      <c r="J5" s="195"/>
      <c r="L5" s="197"/>
      <c r="M5" s="197"/>
      <c r="N5" s="197"/>
      <c r="O5" s="197"/>
      <c r="P5" s="197"/>
      <c r="Q5" s="199" t="s">
        <v>72</v>
      </c>
      <c r="R5" s="199">
        <f>COLUMN('Détail fiscalité'!$AC$6)-COLUMN('Détail fiscalité'!$AC$6)</f>
        <v>0</v>
      </c>
    </row>
    <row r="6" spans="1:20" x14ac:dyDescent="0.15">
      <c r="B6" s="201" t="s">
        <v>73</v>
      </c>
      <c r="C6" s="202"/>
      <c r="E6" s="201" t="s">
        <v>74</v>
      </c>
      <c r="F6" s="202"/>
      <c r="G6" s="197"/>
      <c r="H6" s="203"/>
      <c r="I6" s="197"/>
      <c r="J6" s="195"/>
      <c r="L6" s="197"/>
      <c r="M6" s="197"/>
      <c r="N6" s="197"/>
      <c r="O6" s="197"/>
      <c r="P6" s="197"/>
      <c r="Q6" s="199" t="s">
        <v>75</v>
      </c>
      <c r="R6" s="199">
        <f>COLUMN('Détail fiscalité'!$AH$6)-COLUMN('Détail fiscalité'!$AC$6)</f>
        <v>5</v>
      </c>
    </row>
    <row r="7" spans="1:20" x14ac:dyDescent="0.15">
      <c r="B7" s="204" t="s">
        <v>76</v>
      </c>
      <c r="C7" s="104">
        <v>120000</v>
      </c>
      <c r="E7" s="205" t="s">
        <v>77</v>
      </c>
      <c r="F7" s="105">
        <v>0</v>
      </c>
      <c r="G7" s="197"/>
      <c r="I7" s="197"/>
      <c r="J7" s="195"/>
      <c r="M7" s="197"/>
      <c r="N7" s="197"/>
      <c r="O7" s="197"/>
      <c r="P7" s="197"/>
      <c r="Q7" s="199" t="s">
        <v>78</v>
      </c>
      <c r="R7" s="199">
        <f>COLUMN('Détail fiscalité'!$AM$6)-COLUMN('Détail fiscalité'!$AC$6)</f>
        <v>10</v>
      </c>
    </row>
    <row r="8" spans="1:20" x14ac:dyDescent="0.15">
      <c r="B8" s="204" t="s">
        <v>79</v>
      </c>
      <c r="C8" s="104">
        <v>35800</v>
      </c>
      <c r="E8" s="204" t="s">
        <v>80</v>
      </c>
      <c r="F8" s="15">
        <v>1.4999999999999999E-2</v>
      </c>
      <c r="G8" s="197"/>
      <c r="H8" s="197"/>
      <c r="I8" s="197"/>
      <c r="J8" s="195"/>
      <c r="N8" s="197"/>
      <c r="O8" s="197"/>
      <c r="P8" s="197"/>
      <c r="Q8" s="199" t="s">
        <v>81</v>
      </c>
      <c r="R8" s="199">
        <f>COLUMN('Détail fiscalité'!$AV$6)-COLUMN('Détail fiscalité'!$AC$6)</f>
        <v>19</v>
      </c>
    </row>
    <row r="9" spans="1:20" x14ac:dyDescent="0.15">
      <c r="B9" s="204" t="s">
        <v>82</v>
      </c>
      <c r="C9" s="104">
        <v>2000</v>
      </c>
      <c r="E9" s="204" t="s">
        <v>83</v>
      </c>
      <c r="F9" s="15">
        <v>2E-3</v>
      </c>
      <c r="G9" s="197"/>
      <c r="H9" s="197"/>
      <c r="I9" s="197"/>
      <c r="J9" s="195"/>
      <c r="N9" s="197"/>
      <c r="O9" s="197"/>
      <c r="P9" s="197"/>
      <c r="Q9" s="199" t="s">
        <v>84</v>
      </c>
      <c r="R9" s="199">
        <f>COLUMN('Détail fiscalité'!$BA$6)-COLUMN('Détail fiscalité'!$AC$6)</f>
        <v>24</v>
      </c>
    </row>
    <row r="10" spans="1:20" x14ac:dyDescent="0.15">
      <c r="B10" s="204" t="s">
        <v>85</v>
      </c>
      <c r="C10" s="104">
        <v>8000</v>
      </c>
      <c r="D10" s="197"/>
      <c r="E10" s="204" t="s">
        <v>86</v>
      </c>
      <c r="F10" s="52">
        <v>20</v>
      </c>
      <c r="G10" s="197"/>
      <c r="H10" s="197"/>
      <c r="I10" s="197"/>
      <c r="J10" s="195"/>
      <c r="M10" s="197"/>
      <c r="N10" s="197"/>
      <c r="O10" s="197"/>
      <c r="P10" s="197"/>
      <c r="Q10" s="199" t="s">
        <v>87</v>
      </c>
      <c r="R10" s="199">
        <f>COLUMN('Détail fiscalité'!$BJ$6)-COLUMN('Détail fiscalité'!$AC$6)</f>
        <v>33</v>
      </c>
    </row>
    <row r="11" spans="1:20" x14ac:dyDescent="0.15">
      <c r="B11" s="204" t="s">
        <v>88</v>
      </c>
      <c r="C11" s="104">
        <v>3000</v>
      </c>
      <c r="D11" s="197"/>
      <c r="E11" s="204" t="s">
        <v>89</v>
      </c>
      <c r="F11" s="52" t="s">
        <v>90</v>
      </c>
      <c r="G11" s="197"/>
      <c r="I11" s="197"/>
      <c r="J11" s="195"/>
      <c r="L11" s="197"/>
      <c r="M11" s="197"/>
      <c r="N11" s="206"/>
      <c r="O11" s="197"/>
      <c r="P11" s="197"/>
      <c r="Q11" s="199" t="s">
        <v>91</v>
      </c>
      <c r="R11" s="199">
        <f>COLUMN('Détail fiscalité'!$BO$6)-COLUMN('Détail fiscalité'!$AC$6)</f>
        <v>38</v>
      </c>
    </row>
    <row r="12" spans="1:20" x14ac:dyDescent="0.15">
      <c r="B12" s="207" t="s">
        <v>92</v>
      </c>
      <c r="C12" s="168">
        <f>8%*C7</f>
        <v>9600</v>
      </c>
      <c r="D12" s="197"/>
      <c r="E12" s="207" t="s">
        <v>93</v>
      </c>
      <c r="F12" s="13">
        <v>12</v>
      </c>
      <c r="G12" s="197"/>
      <c r="I12" s="195"/>
      <c r="J12" s="195"/>
      <c r="M12" s="197"/>
      <c r="N12" s="197"/>
      <c r="O12" s="197"/>
      <c r="P12" s="197"/>
      <c r="Q12" s="199" t="s">
        <v>94</v>
      </c>
      <c r="R12" s="199">
        <f>COLUMN('Détail fiscalité'!$BX$6)-COLUMN('Détail fiscalité'!$AC$6)</f>
        <v>47</v>
      </c>
    </row>
    <row r="13" spans="1:20" x14ac:dyDescent="0.15">
      <c r="B13" s="208" t="s">
        <v>95</v>
      </c>
      <c r="C13" s="209">
        <f>SUM(C7:C12)</f>
        <v>178400</v>
      </c>
      <c r="D13" s="210"/>
      <c r="G13" s="197"/>
      <c r="I13" s="195"/>
      <c r="J13" s="195"/>
      <c r="M13" s="197"/>
      <c r="N13" s="197"/>
      <c r="O13" s="197"/>
      <c r="P13" s="197"/>
      <c r="Q13" s="199" t="s">
        <v>96</v>
      </c>
      <c r="R13" s="199">
        <f>COLUMN('Détail fiscalité'!$CB$6)-COLUMN('Détail fiscalité'!$AC$6)</f>
        <v>51</v>
      </c>
    </row>
    <row r="14" spans="1:20" x14ac:dyDescent="0.15">
      <c r="A14" s="211"/>
      <c r="B14" s="211"/>
      <c r="C14" s="211"/>
      <c r="D14" s="210"/>
      <c r="E14" s="201" t="s">
        <v>97</v>
      </c>
      <c r="F14" s="202"/>
      <c r="G14" s="197"/>
      <c r="I14" s="195"/>
      <c r="J14" s="195"/>
      <c r="M14" s="197"/>
      <c r="N14" s="197"/>
      <c r="O14" s="197"/>
      <c r="P14" s="197"/>
      <c r="Q14" s="199" t="s">
        <v>98</v>
      </c>
      <c r="R14" s="199">
        <f>COLUMN('Détail fiscalité'!$CH$6)-COLUMN('Détail fiscalité'!$AC$6)</f>
        <v>57</v>
      </c>
    </row>
    <row r="15" spans="1:20" x14ac:dyDescent="0.15">
      <c r="A15" s="211"/>
      <c r="B15" s="201" t="s">
        <v>99</v>
      </c>
      <c r="C15" s="202"/>
      <c r="D15" s="197"/>
      <c r="E15" s="205" t="s">
        <v>100</v>
      </c>
      <c r="F15" s="17">
        <v>0.01</v>
      </c>
      <c r="G15" s="197"/>
      <c r="I15" s="197"/>
      <c r="J15" s="195"/>
      <c r="L15" s="197"/>
      <c r="M15" s="197"/>
      <c r="N15" s="197"/>
      <c r="O15" s="197"/>
      <c r="P15" s="197"/>
    </row>
    <row r="16" spans="1:20" ht="14" customHeight="1" x14ac:dyDescent="0.15">
      <c r="A16" s="211"/>
      <c r="B16" s="204" t="s">
        <v>101</v>
      </c>
      <c r="C16" s="212">
        <f>12*C17*C18</f>
        <v>12000</v>
      </c>
      <c r="D16" s="197"/>
      <c r="E16" s="204" t="s">
        <v>102</v>
      </c>
      <c r="F16" s="15">
        <v>0.01</v>
      </c>
      <c r="G16" s="197"/>
      <c r="I16" s="197"/>
      <c r="J16" s="195"/>
      <c r="L16" s="213"/>
      <c r="M16" s="197"/>
      <c r="N16" s="197"/>
      <c r="O16" s="197"/>
      <c r="P16" s="197"/>
      <c r="Q16" s="194"/>
      <c r="R16" s="194"/>
      <c r="S16" s="194"/>
      <c r="T16" s="194"/>
    </row>
    <row r="17" spans="2:22" ht="14" customHeight="1" x14ac:dyDescent="0.15">
      <c r="B17" s="214" t="s">
        <v>103</v>
      </c>
      <c r="C17" s="104">
        <v>1000</v>
      </c>
      <c r="D17" s="197"/>
      <c r="E17" s="204" t="s">
        <v>104</v>
      </c>
      <c r="F17" s="15">
        <v>0.01</v>
      </c>
      <c r="G17" s="197"/>
      <c r="I17" s="215"/>
      <c r="J17" s="195"/>
      <c r="L17" s="197"/>
      <c r="M17" s="197"/>
      <c r="N17" s="197"/>
      <c r="O17" s="197"/>
      <c r="P17" s="197"/>
      <c r="Q17" s="216"/>
      <c r="R17" s="216"/>
      <c r="S17" s="216"/>
      <c r="T17" s="216"/>
    </row>
    <row r="18" spans="2:22" x14ac:dyDescent="0.15">
      <c r="B18" s="217" t="s">
        <v>105</v>
      </c>
      <c r="C18" s="16">
        <v>1</v>
      </c>
      <c r="D18" s="218"/>
      <c r="E18" s="204" t="s">
        <v>106</v>
      </c>
      <c r="F18" s="15">
        <v>0.01</v>
      </c>
      <c r="G18" s="197"/>
      <c r="I18" s="197"/>
      <c r="J18" s="195"/>
      <c r="L18" s="197"/>
      <c r="M18" s="197"/>
      <c r="N18" s="197"/>
      <c r="O18" s="197"/>
      <c r="P18" s="197"/>
      <c r="Q18" s="216"/>
      <c r="R18" s="216"/>
      <c r="S18" s="216"/>
      <c r="T18" s="216"/>
    </row>
    <row r="19" spans="2:22" x14ac:dyDescent="0.15">
      <c r="B19" s="204" t="s">
        <v>107</v>
      </c>
      <c r="C19" s="104">
        <v>600</v>
      </c>
      <c r="D19" s="197"/>
      <c r="E19" s="207" t="s">
        <v>108</v>
      </c>
      <c r="F19" s="18">
        <v>0.01</v>
      </c>
      <c r="G19" s="197"/>
      <c r="I19" s="197"/>
      <c r="J19" s="197"/>
      <c r="K19" s="197"/>
      <c r="L19" s="197"/>
      <c r="M19" s="197"/>
      <c r="N19" s="197"/>
      <c r="O19" s="197"/>
      <c r="P19" s="197"/>
      <c r="Q19" s="194"/>
      <c r="R19" s="194"/>
      <c r="S19" s="194"/>
      <c r="T19" s="194"/>
    </row>
    <row r="20" spans="2:22" x14ac:dyDescent="0.15">
      <c r="B20" s="204" t="s">
        <v>109</v>
      </c>
      <c r="C20" s="104">
        <v>100</v>
      </c>
      <c r="D20" s="219"/>
      <c r="G20" s="197"/>
      <c r="I20" s="197"/>
      <c r="J20" s="197"/>
      <c r="K20" s="197"/>
      <c r="L20" s="197"/>
      <c r="M20" s="197"/>
      <c r="N20" s="197"/>
      <c r="O20" s="197"/>
      <c r="P20" s="197"/>
    </row>
    <row r="21" spans="2:22" x14ac:dyDescent="0.15">
      <c r="B21" s="204" t="s">
        <v>110</v>
      </c>
      <c r="C21" s="104">
        <v>1200</v>
      </c>
      <c r="D21" s="197"/>
      <c r="E21" s="201" t="s">
        <v>111</v>
      </c>
      <c r="F21" s="202"/>
      <c r="G21" s="197"/>
      <c r="H21" s="197"/>
      <c r="I21" s="197"/>
      <c r="J21" s="197"/>
      <c r="K21" s="197"/>
      <c r="L21" s="197"/>
      <c r="M21" s="197"/>
      <c r="N21" s="197"/>
      <c r="O21" s="197"/>
      <c r="P21" s="197"/>
    </row>
    <row r="22" spans="2:22" x14ac:dyDescent="0.15">
      <c r="B22" s="207" t="s">
        <v>112</v>
      </c>
      <c r="C22" s="106">
        <v>300</v>
      </c>
      <c r="D22" s="197"/>
      <c r="E22" s="205" t="s">
        <v>113</v>
      </c>
      <c r="F22" s="294">
        <f>(C7+C8+C9)*(1+F16)^F24</f>
        <v>177812.98975482484</v>
      </c>
      <c r="G22" s="197"/>
      <c r="H22" s="197"/>
      <c r="I22" s="197"/>
      <c r="J22" s="197"/>
      <c r="K22" s="197"/>
      <c r="L22" s="197"/>
      <c r="M22" s="197"/>
      <c r="N22" s="197"/>
      <c r="O22" s="197"/>
      <c r="P22" s="197"/>
    </row>
    <row r="23" spans="2:22" x14ac:dyDescent="0.15">
      <c r="B23" s="204" t="s">
        <v>114</v>
      </c>
      <c r="C23" s="104">
        <v>400</v>
      </c>
      <c r="D23" s="197"/>
      <c r="E23" s="220" t="s">
        <v>115</v>
      </c>
      <c r="F23" s="221">
        <f>F22-VLOOKUP(C27,'Comparatif fiscal'!B8:E17,4,FALSE)</f>
        <v>176655.31250048263</v>
      </c>
      <c r="G23" s="197"/>
      <c r="H23" s="197"/>
      <c r="I23" s="197"/>
      <c r="J23" s="197"/>
      <c r="K23" s="197"/>
      <c r="L23" s="197"/>
      <c r="M23" s="197"/>
      <c r="N23" s="197"/>
      <c r="O23" s="197"/>
      <c r="P23" s="197"/>
    </row>
    <row r="24" spans="2:22" x14ac:dyDescent="0.15">
      <c r="B24" s="207" t="s">
        <v>116</v>
      </c>
      <c r="C24" s="14">
        <v>7.0000000000000007E-2</v>
      </c>
      <c r="D24" s="210"/>
      <c r="E24" s="207" t="s">
        <v>117</v>
      </c>
      <c r="F24" s="13">
        <v>12</v>
      </c>
      <c r="G24" s="197"/>
      <c r="H24" s="197"/>
      <c r="I24" s="197"/>
      <c r="J24" s="197"/>
      <c r="K24" s="197"/>
      <c r="L24" s="197"/>
      <c r="M24" s="197"/>
      <c r="N24" s="197"/>
      <c r="O24" s="197"/>
      <c r="P24" s="197"/>
    </row>
    <row r="25" spans="2:22" x14ac:dyDescent="0.15">
      <c r="D25" s="218"/>
      <c r="G25" s="197"/>
      <c r="H25" s="197"/>
      <c r="I25" s="197"/>
      <c r="J25" s="197"/>
      <c r="K25" s="197"/>
      <c r="L25" s="197"/>
      <c r="M25" s="197"/>
      <c r="N25" s="197"/>
      <c r="O25" s="197"/>
      <c r="P25" s="197"/>
    </row>
    <row r="26" spans="2:22" x14ac:dyDescent="0.15">
      <c r="B26" s="222" t="s">
        <v>118</v>
      </c>
      <c r="C26" s="223"/>
      <c r="D26" s="223"/>
      <c r="E26" s="224"/>
      <c r="J26" s="197"/>
      <c r="K26" s="197"/>
      <c r="L26" s="197"/>
      <c r="M26" s="197"/>
      <c r="N26" s="197"/>
      <c r="O26" s="197"/>
      <c r="P26" s="197"/>
    </row>
    <row r="27" spans="2:22" x14ac:dyDescent="0.15">
      <c r="B27" s="225" t="s">
        <v>119</v>
      </c>
      <c r="C27" s="170" t="s">
        <v>72</v>
      </c>
      <c r="D27" s="170" t="s">
        <v>72</v>
      </c>
      <c r="E27" s="171" t="s">
        <v>72</v>
      </c>
      <c r="J27" s="197"/>
      <c r="K27" s="197"/>
      <c r="L27" s="197"/>
      <c r="M27" s="197"/>
      <c r="N27" s="197"/>
      <c r="O27" s="197"/>
      <c r="P27" s="197"/>
    </row>
    <row r="28" spans="2:22" x14ac:dyDescent="0.15">
      <c r="B28" s="226" t="s">
        <v>120</v>
      </c>
      <c r="C28" s="227">
        <v>49.02</v>
      </c>
      <c r="D28" s="227"/>
      <c r="E28" s="228"/>
      <c r="J28" s="197"/>
      <c r="K28" s="197"/>
      <c r="L28" s="197"/>
      <c r="M28" s="197"/>
      <c r="N28" s="197"/>
      <c r="O28" s="197"/>
      <c r="P28" s="197"/>
    </row>
    <row r="29" spans="2:22" x14ac:dyDescent="0.15">
      <c r="M29" s="191"/>
    </row>
    <row r="30" spans="2:22" ht="18" x14ac:dyDescent="0.2">
      <c r="B30" s="229" t="str">
        <f>"Bilan de l'opération à "&amp;F24&amp;" ans"</f>
        <v>Bilan de l'opération à 12 ans</v>
      </c>
      <c r="C30" s="230"/>
      <c r="D30" s="230"/>
      <c r="E30" s="230"/>
      <c r="F30" s="230"/>
      <c r="G30" s="230"/>
      <c r="H30" s="230"/>
      <c r="I30" s="230"/>
      <c r="J30" s="230"/>
      <c r="K30" s="231"/>
      <c r="M30" s="191"/>
      <c r="Q30" s="232" t="s">
        <v>8</v>
      </c>
      <c r="R30" s="232" t="s">
        <v>121</v>
      </c>
      <c r="S30" s="232" t="s">
        <v>122</v>
      </c>
      <c r="T30" s="232" t="s">
        <v>123</v>
      </c>
      <c r="U30" s="232" t="s">
        <v>124</v>
      </c>
      <c r="V30" s="232" t="s">
        <v>125</v>
      </c>
    </row>
    <row r="31" spans="2:22" x14ac:dyDescent="0.15">
      <c r="M31" s="191"/>
      <c r="Q31" s="232">
        <f ca="1">YEAR(TODAY())+'Détail trésorerie'!Q7</f>
        <v>2024</v>
      </c>
      <c r="R31" s="233">
        <f>'Détail trésorerie'!R7</f>
        <v>178400</v>
      </c>
      <c r="S31" s="233">
        <f t="shared" ref="S31:S51" ca="1" si="0">($C$7+$C$8+$C$9)*(1+$F$16)^(Q31-$Q$31)*(Q31-$Q$31&lt;=$F$24)</f>
        <v>157800</v>
      </c>
      <c r="T31" s="233">
        <f>'Détail trésorerie'!AD7-'Détail trésorerie'!X7</f>
        <v>0</v>
      </c>
      <c r="U31" s="233">
        <f ca="1">MAX(S31-R31+SUM($T$31:T31),0)*(Q31-$Q$31&lt;=$F$24)</f>
        <v>0</v>
      </c>
      <c r="V31" s="233">
        <f ca="1">-MIN(SUM($T$31:T31),0)*(Q31-$Q$31&lt;=$F$24)</f>
        <v>0</v>
      </c>
    </row>
    <row r="32" spans="2:22" ht="16" x14ac:dyDescent="0.2">
      <c r="B32" s="234" t="s">
        <v>126</v>
      </c>
      <c r="M32" s="191"/>
      <c r="Q32" s="232">
        <f ca="1">YEAR(TODAY())+'Détail trésorerie'!Q8</f>
        <v>2025</v>
      </c>
      <c r="R32" s="233">
        <f>'Détail trésorerie'!R8</f>
        <v>170692.82447073673</v>
      </c>
      <c r="S32" s="233">
        <f t="shared" ca="1" si="0"/>
        <v>159378</v>
      </c>
      <c r="T32" s="233">
        <f ca="1">'Détail trésorerie'!AD8-'Détail trésorerie'!X8</f>
        <v>-2127.1321133448391</v>
      </c>
      <c r="U32" s="233">
        <f ca="1">MAX(S32-R32+SUM($T$31:T32),0)*(Q32-$Q$31&lt;=$F$24)</f>
        <v>0</v>
      </c>
      <c r="V32" s="233">
        <f ca="1">-MIN(SUM($T$31:T32),0)*(Q32-$Q$31&lt;=$F$24)</f>
        <v>2127.1321133448391</v>
      </c>
    </row>
    <row r="33" spans="2:22" x14ac:dyDescent="0.15">
      <c r="B33" s="235" t="s">
        <v>127</v>
      </c>
      <c r="C33" s="236"/>
      <c r="D33" s="237"/>
      <c r="E33" s="238">
        <f>C13-F7</f>
        <v>178400</v>
      </c>
      <c r="M33" s="191"/>
      <c r="Q33" s="232">
        <f ca="1">YEAR(TODAY())+'Détail trésorerie'!Q9</f>
        <v>2026</v>
      </c>
      <c r="R33" s="233">
        <f>'Détail trésorerie'!R9</f>
        <v>162869.24318504828</v>
      </c>
      <c r="S33" s="233">
        <f t="shared" ca="1" si="0"/>
        <v>160971.78</v>
      </c>
      <c r="T33" s="233">
        <f ca="1">'Détail trésorerie'!AD9-'Détail trésorerie'!X9</f>
        <v>-2041.5321133448433</v>
      </c>
      <c r="U33" s="233">
        <f ca="1">MAX(S33-R33+SUM($T$31:T33),0)*(Q33-$Q$31&lt;=$F$24)</f>
        <v>0</v>
      </c>
      <c r="V33" s="233">
        <f ca="1">-MIN(SUM($T$31:T33),0)*(Q33-$Q$31&lt;=$F$24)</f>
        <v>4168.6642266896824</v>
      </c>
    </row>
    <row r="34" spans="2:22" x14ac:dyDescent="0.15">
      <c r="B34" s="239" t="s">
        <v>128</v>
      </c>
      <c r="C34" s="240"/>
      <c r="D34" s="241"/>
      <c r="E34" s="242">
        <f>IF(F11="Amortissable différé total",E33*(1+F8)^(F12/12),E33)</f>
        <v>178400</v>
      </c>
      <c r="M34" s="191"/>
      <c r="Q34" s="232">
        <f ca="1">YEAR(TODAY())+'Détail trésorerie'!Q10</f>
        <v>2027</v>
      </c>
      <c r="R34" s="233">
        <f>'Détail trésorerie'!R10</f>
        <v>154927.49800208566</v>
      </c>
      <c r="S34" s="233">
        <f t="shared" ca="1" si="0"/>
        <v>162581.49779999998</v>
      </c>
      <c r="T34" s="233">
        <f ca="1">'Détail trésorerie'!AD10-'Détail trésorerie'!X10</f>
        <v>-1955.0761133448405</v>
      </c>
      <c r="U34" s="233">
        <f ca="1">MAX(S34-R34+SUM($T$31:T34),0)*(Q34-$Q$31&lt;=$F$24)</f>
        <v>1530.2594578797998</v>
      </c>
      <c r="V34" s="233">
        <f ca="1">-MIN(SUM($T$31:T34),0)*(Q34-$Q$31&lt;=$F$24)</f>
        <v>6123.7403400345229</v>
      </c>
    </row>
    <row r="35" spans="2:22" x14ac:dyDescent="0.15">
      <c r="B35" s="197"/>
      <c r="C35" s="197"/>
      <c r="D35" s="197"/>
      <c r="E35" s="197"/>
      <c r="F35" s="197"/>
      <c r="M35" s="191"/>
      <c r="Q35" s="232">
        <f ca="1">YEAR(TODAY())+'Détail trésorerie'!Q11</f>
        <v>2028</v>
      </c>
      <c r="R35" s="233">
        <f>'Détail trésorerie'!R11</f>
        <v>146865.80422682117</v>
      </c>
      <c r="S35" s="233">
        <f t="shared" ca="1" si="0"/>
        <v>164207.31277799999</v>
      </c>
      <c r="T35" s="233">
        <f ca="1">'Détail trésorerie'!AD11-'Détail trésorerie'!X11</f>
        <v>-1867.7555533448412</v>
      </c>
      <c r="U35" s="233">
        <f ca="1">MAX(S35-R35+SUM($T$31:T35),0)*(Q35-$Q$31&lt;=$F$24)</f>
        <v>9350.0126577994561</v>
      </c>
      <c r="V35" s="233">
        <f ca="1">-MIN(SUM($T$31:T35),0)*(Q35-$Q$31&lt;=$F$24)</f>
        <v>7991.4958933793641</v>
      </c>
    </row>
    <row r="36" spans="2:22" x14ac:dyDescent="0.15">
      <c r="B36" s="243" t="s">
        <v>129</v>
      </c>
      <c r="C36" s="244" t="s">
        <v>130</v>
      </c>
      <c r="D36" s="244"/>
      <c r="E36" s="244" t="s">
        <v>131</v>
      </c>
      <c r="F36" s="244" t="s">
        <v>108</v>
      </c>
      <c r="M36" s="191"/>
      <c r="Q36" s="232">
        <f ca="1">YEAR(TODAY())+'Détail trésorerie'!Q12</f>
        <v>2029</v>
      </c>
      <c r="R36" s="233">
        <f>'Détail trésorerie'!R12</f>
        <v>138682.35020898608</v>
      </c>
      <c r="S36" s="233">
        <f t="shared" ca="1" si="0"/>
        <v>165849.38590577999</v>
      </c>
      <c r="T36" s="233">
        <f ca="1">'Détail trésorerie'!AD12-'Détail trésorerie'!X12</f>
        <v>-1779.5617877448421</v>
      </c>
      <c r="U36" s="233">
        <f ca="1">MAX(S36-R36+SUM($T$31:T36),0)*(Q36-$Q$31&lt;=$F$24)</f>
        <v>17395.978015669694</v>
      </c>
      <c r="V36" s="233">
        <f ca="1">-MIN(SUM($T$31:T36),0)*(Q36-$Q$31&lt;=$F$24)</f>
        <v>9771.0576811242063</v>
      </c>
    </row>
    <row r="37" spans="2:22" x14ac:dyDescent="0.15">
      <c r="B37" s="245" t="str">
        <f>IF(F11="In fine","In fine","Différé")</f>
        <v>Différé</v>
      </c>
      <c r="C37" s="246" t="str">
        <f>IF(F11="In fine","1 à "&amp;F10*12,"1 à "&amp;F12)</f>
        <v>1 à 12</v>
      </c>
      <c r="D37" s="247"/>
      <c r="E37" s="248">
        <f>IF(OR(F11="Amortissable différé partiel",F11="In fine"),E33*F8/12,0)</f>
        <v>0</v>
      </c>
      <c r="F37" s="238">
        <f>E33*F9/12</f>
        <v>29.733333333333334</v>
      </c>
      <c r="M37" s="191"/>
      <c r="Q37" s="232">
        <f ca="1">YEAR(TODAY())+'Détail trésorerie'!Q13</f>
        <v>2030</v>
      </c>
      <c r="R37" s="233">
        <f>'Détail trésorerie'!R13</f>
        <v>130375.29693595052</v>
      </c>
      <c r="S37" s="233">
        <f t="shared" ca="1" si="0"/>
        <v>167507.87976483782</v>
      </c>
      <c r="T37" s="233">
        <f ca="1">'Détail trésorerie'!AD13-'Détail trésorerie'!X13</f>
        <v>-1690.4860844888417</v>
      </c>
      <c r="U37" s="233">
        <f ca="1">MAX(S37-R37+SUM($T$31:T37),0)*(Q37-$Q$31&lt;=$F$24)</f>
        <v>25671.039063274253</v>
      </c>
      <c r="V37" s="233">
        <f ca="1">-MIN(SUM($T$31:T37),0)*(Q37-$Q$31&lt;=$F$24)</f>
        <v>11461.543765613049</v>
      </c>
    </row>
    <row r="38" spans="2:22" x14ac:dyDescent="0.15">
      <c r="B38" s="249" t="s">
        <v>132</v>
      </c>
      <c r="C38" s="250" t="str">
        <f>IF(F11="Amortissable sans différé","1 à "&amp;F10*12,F12+1&amp;" à "&amp;F10*12+F12)</f>
        <v>1 à 240</v>
      </c>
      <c r="D38" s="251"/>
      <c r="E38" s="252">
        <f>PMT(F8/12,F10*12,-E34)</f>
        <v>860.8610094454034</v>
      </c>
      <c r="F38" s="242">
        <f>E33*F9/12</f>
        <v>29.733333333333334</v>
      </c>
      <c r="M38" s="191"/>
      <c r="Q38" s="232">
        <f ca="1">YEAR(TODAY())+'Détail trésorerie'!Q14</f>
        <v>2031</v>
      </c>
      <c r="R38" s="233">
        <f>'Détail trésorerie'!R14</f>
        <v>121942.77761945453</v>
      </c>
      <c r="S38" s="233">
        <f t="shared" ca="1" si="0"/>
        <v>169182.95856248616</v>
      </c>
      <c r="T38" s="233">
        <f ca="1">'Détail trésorerie'!AD14-'Détail trésorerie'!X14</f>
        <v>-1600.5196242002812</v>
      </c>
      <c r="U38" s="233">
        <f ca="1">MAX(S38-R38+SUM($T$31:T38),0)*(Q38-$Q$31&lt;=$F$24)</f>
        <v>34178.117553218304</v>
      </c>
      <c r="V38" s="233">
        <f ca="1">-MIN(SUM($T$31:T38),0)*(Q38-$Q$31&lt;=$F$24)</f>
        <v>13062.063389813331</v>
      </c>
    </row>
    <row r="39" spans="2:22" x14ac:dyDescent="0.15">
      <c r="B39" s="197"/>
      <c r="C39" s="197"/>
      <c r="D39" s="197"/>
      <c r="E39" s="197"/>
      <c r="F39" s="197"/>
      <c r="M39" s="191"/>
      <c r="Q39" s="232">
        <f ca="1">YEAR(TODAY())+'Détail trésorerie'!Q15</f>
        <v>2032</v>
      </c>
      <c r="R39" s="233">
        <f>'Détail trésorerie'!R15</f>
        <v>113382.89727609733</v>
      </c>
      <c r="S39" s="233">
        <f t="shared" ca="1" si="0"/>
        <v>170874.78814811105</v>
      </c>
      <c r="T39" s="233">
        <f ca="1">'Détail trésorerie'!AD15-'Détail trésorerie'!X15</f>
        <v>-1509.6534993088389</v>
      </c>
      <c r="U39" s="233">
        <f ca="1">MAX(S39-R39+SUM($T$31:T39),0)*(Q39-$Q$31&lt;=$F$24)</f>
        <v>42920.17398289156</v>
      </c>
      <c r="V39" s="233">
        <f ca="1">-MIN(SUM($T$31:T39),0)*(Q39-$Q$31&lt;=$F$24)</f>
        <v>14571.71688912217</v>
      </c>
    </row>
    <row r="40" spans="2:22" ht="16" x14ac:dyDescent="0.2">
      <c r="B40" s="234" t="s">
        <v>133</v>
      </c>
      <c r="M40" s="191"/>
      <c r="Q40" s="232">
        <f ca="1">YEAR(TODAY())+'Détail trésorerie'!Q16</f>
        <v>2033</v>
      </c>
      <c r="R40" s="233">
        <f>'Détail trésorerie'!R16</f>
        <v>104693.73230149047</v>
      </c>
      <c r="S40" s="233">
        <f t="shared" ca="1" si="0"/>
        <v>172583.53602959219</v>
      </c>
      <c r="T40" s="233">
        <f ca="1">'Détail trésorerie'!AD16-'Détail trésorerie'!X16</f>
        <v>-1417.8787131684749</v>
      </c>
      <c r="U40" s="233">
        <f ca="1">MAX(S40-R40+SUM($T$31:T40),0)*(Q40-$Q$31&lt;=$F$24)</f>
        <v>51900.20812581107</v>
      </c>
      <c r="V40" s="233">
        <f ca="1">-MIN(SUM($T$31:T40),0)*(Q40-$Q$31&lt;=$F$24)</f>
        <v>15989.595602290645</v>
      </c>
    </row>
    <row r="41" spans="2:22" x14ac:dyDescent="0.15">
      <c r="B41" s="235" t="s">
        <v>134</v>
      </c>
      <c r="C41" s="236"/>
      <c r="D41" s="253"/>
      <c r="E41" s="254">
        <f>SUMPRODUCT(('Détail trésorerie'!Q8:Q37&lt;=F24)*'Détail trésorerie'!W8:W37)/C18/F24/C13</f>
        <v>7.1090263526888867E-2</v>
      </c>
      <c r="M41" s="191"/>
      <c r="Q41" s="232">
        <f ca="1">YEAR(TODAY())+'Détail trésorerie'!Q17</f>
        <v>2034</v>
      </c>
      <c r="R41" s="233">
        <f>'Détail trésorerie'!R17</f>
        <v>95873.330037979104</v>
      </c>
      <c r="S41" s="233">
        <f t="shared" ca="1" si="0"/>
        <v>174309.37138988811</v>
      </c>
      <c r="T41" s="233">
        <f ca="1">'Détail trésorerie'!AD17-'Détail trésorerie'!X17</f>
        <v>-1325.1861791667088</v>
      </c>
      <c r="U41" s="233">
        <f ca="1">MAX(S41-R41+SUM($T$31:T41),0)*(Q41-$Q$31&lt;=$F$24)</f>
        <v>61121.259570451657</v>
      </c>
      <c r="V41" s="233">
        <f ca="1">-MIN(SUM($T$31:T41),0)*(Q41-$Q$31&lt;=$F$24)</f>
        <v>17314.781781457354</v>
      </c>
    </row>
    <row r="42" spans="2:22" x14ac:dyDescent="0.15">
      <c r="B42" s="255" t="s">
        <v>135</v>
      </c>
      <c r="C42" s="256"/>
      <c r="D42" s="197"/>
      <c r="E42" s="257">
        <f>SUMPRODUCT(('Détail trésorerie'!Q8:Q37&lt;=F24)*('Détail trésorerie'!W8:W37-'Détail trésorerie'!Y8:Y37-'Détail trésorerie'!Z8:Z37-'Détail trésorerie'!AA8:AA37-'Détail trésorerie'!AB8:AB37))/F24/C13</f>
        <v>4.8711054649180713E-2</v>
      </c>
      <c r="L42" s="191"/>
      <c r="M42" s="191"/>
      <c r="Q42" s="232">
        <f ca="1">YEAR(TODAY())+'Détail trésorerie'!Q18</f>
        <v>2035</v>
      </c>
      <c r="R42" s="233">
        <f>'Détail trésorerie'!R18</f>
        <v>86919.708335834279</v>
      </c>
      <c r="S42" s="233">
        <f t="shared" ca="1" si="0"/>
        <v>176052.46510378696</v>
      </c>
      <c r="T42" s="233">
        <f ca="1">'Détail trésorerie'!AD18-'Détail trésorerie'!X18</f>
        <v>-1231.5667198249303</v>
      </c>
      <c r="U42" s="233">
        <f ca="1">MAX(S42-R42+SUM($T$31:T42),0)*(Q42-$Q$31&lt;=$F$24)</f>
        <v>70586.408266670391</v>
      </c>
      <c r="V42" s="233">
        <f ca="1">-MIN(SUM($T$31:T42),0)*(Q42-$Q$31&lt;=$F$24)</f>
        <v>18546.348501282286</v>
      </c>
    </row>
    <row r="43" spans="2:22" x14ac:dyDescent="0.15">
      <c r="B43" s="258" t="s">
        <v>136</v>
      </c>
      <c r="C43" s="240"/>
      <c r="D43" s="259"/>
      <c r="E43" s="260">
        <f ca="1">SUMPRODUCT(('Détail trésorerie'!Q8:Q37&lt;=F24)*('Détail trésorerie'!W8:W37-'Détail trésorerie'!Y8:Y37-'Détail trésorerie'!Z8:Z37-'Détail trésorerie'!AA8:AA37-'Détail trésorerie'!AB8:AB37-'Détail trésorerie'!AC8:AC37))/F24/C13</f>
        <v>4.8711054649180713E-2</v>
      </c>
      <c r="L43" s="191"/>
      <c r="M43" s="191"/>
      <c r="Q43" s="232">
        <f ca="1">YEAR(TODAY())+'Détail trésorerie'!Q19</f>
        <v>2036</v>
      </c>
      <c r="R43" s="233">
        <f>'Détail trésorerie'!R19</f>
        <v>77830.855107817799</v>
      </c>
      <c r="S43" s="233">
        <f t="shared" ca="1" si="0"/>
        <v>177812.98975482484</v>
      </c>
      <c r="T43" s="233">
        <f ca="1">'Détail trésorerie'!AD19-'Détail trésorerie'!X19</f>
        <v>-1137.011065889732</v>
      </c>
      <c r="U43" s="233">
        <f ca="1">MAX(S43-R43+SUM($T$31:T43),0)*(Q43-$Q$31&lt;=$F$24)</f>
        <v>80298.775079835032</v>
      </c>
      <c r="V43" s="233">
        <f ca="1">-MIN(SUM($T$31:T43),0)*(Q43-$Q$31&lt;=$F$24)</f>
        <v>19683.359567172018</v>
      </c>
    </row>
    <row r="44" spans="2:22" x14ac:dyDescent="0.15">
      <c r="D44" s="197"/>
      <c r="M44" s="191"/>
      <c r="Q44" s="232">
        <f ca="1">YEAR(TODAY())+'Détail trésorerie'!Q20</f>
        <v>2037</v>
      </c>
      <c r="R44" s="233">
        <f>'Détail trésorerie'!R20</f>
        <v>0</v>
      </c>
      <c r="S44" s="233">
        <f t="shared" ca="1" si="0"/>
        <v>0</v>
      </c>
      <c r="T44" s="233">
        <f ca="1">'Détail trésorerie'!AD20-'Détail trésorerie'!X20</f>
        <v>0</v>
      </c>
      <c r="U44" s="233">
        <f ca="1">MAX(S44-R44+SUM($T$31:T44),0)*(Q44-$Q$31&lt;=$F$24)</f>
        <v>0</v>
      </c>
      <c r="V44" s="233">
        <f ca="1">-MIN(SUM($T$31:T44),0)*(Q44-$Q$31&lt;=$F$24)</f>
        <v>0</v>
      </c>
    </row>
    <row r="45" spans="2:22" ht="16" x14ac:dyDescent="0.2">
      <c r="B45" s="234" t="s">
        <v>137</v>
      </c>
      <c r="D45" s="197"/>
      <c r="M45" s="191"/>
      <c r="Q45" s="232">
        <f ca="1">YEAR(TODAY())+'Détail trésorerie'!Q21</f>
        <v>2038</v>
      </c>
      <c r="R45" s="233">
        <f>'Détail trésorerie'!R21</f>
        <v>0</v>
      </c>
      <c r="S45" s="233">
        <f t="shared" ca="1" si="0"/>
        <v>0</v>
      </c>
      <c r="T45" s="233">
        <f ca="1">'Détail trésorerie'!AD21-'Détail trésorerie'!X21</f>
        <v>0</v>
      </c>
      <c r="U45" s="233">
        <f ca="1">MAX(S45-R45+SUM($T$31:T45),0)*(Q45-$Q$31&lt;=$F$24)</f>
        <v>0</v>
      </c>
      <c r="V45" s="233">
        <f ca="1">-MIN(SUM($T$31:T45),0)*(Q45-$Q$31&lt;=$F$24)</f>
        <v>0</v>
      </c>
    </row>
    <row r="46" spans="2:22" x14ac:dyDescent="0.15">
      <c r="B46" s="235" t="s">
        <v>138</v>
      </c>
      <c r="C46" s="236"/>
      <c r="D46" s="237"/>
      <c r="E46" s="238">
        <f>SUM('Détail trésorerie'!W8:W37)/F24/12</f>
        <v>1056.8752510997479</v>
      </c>
      <c r="M46" s="191"/>
      <c r="Q46" s="232">
        <f ca="1">YEAR(TODAY())+'Détail trésorerie'!Q22</f>
        <v>2039</v>
      </c>
      <c r="R46" s="233">
        <f>'Détail trésorerie'!R22</f>
        <v>0</v>
      </c>
      <c r="S46" s="233">
        <f t="shared" ca="1" si="0"/>
        <v>0</v>
      </c>
      <c r="T46" s="233">
        <f ca="1">'Détail trésorerie'!AD22-'Détail trésorerie'!X22</f>
        <v>0</v>
      </c>
      <c r="U46" s="233">
        <f ca="1">MAX(S46-R46+SUM($T$31:T46),0)*(Q46-$Q$31&lt;=$F$24)</f>
        <v>0</v>
      </c>
      <c r="V46" s="233">
        <f ca="1">-MIN(SUM($T$31:T46),0)*(Q46-$Q$31&lt;=$F$24)</f>
        <v>0</v>
      </c>
    </row>
    <row r="47" spans="2:22" x14ac:dyDescent="0.15">
      <c r="B47" s="261" t="s">
        <v>139</v>
      </c>
      <c r="C47" s="256"/>
      <c r="E47" s="262">
        <f>SUM('Détail trésorerie'!U8:V37)/F24/12</f>
        <v>890.59434277873709</v>
      </c>
      <c r="M47" s="191"/>
      <c r="Q47" s="232">
        <f ca="1">YEAR(TODAY())+'Détail trésorerie'!Q23</f>
        <v>2040</v>
      </c>
      <c r="R47" s="233">
        <f>'Détail trésorerie'!R23</f>
        <v>0</v>
      </c>
      <c r="S47" s="233">
        <f t="shared" ca="1" si="0"/>
        <v>0</v>
      </c>
      <c r="T47" s="233">
        <f ca="1">'Détail trésorerie'!AD23-'Détail trésorerie'!X23</f>
        <v>0</v>
      </c>
      <c r="U47" s="233">
        <f ca="1">MAX(S47-R47+SUM($T$31:T47),0)*(Q47-$Q$31&lt;=$F$24)</f>
        <v>0</v>
      </c>
      <c r="V47" s="233">
        <f ca="1">-MIN(SUM($T$31:T47),0)*(Q47-$Q$31&lt;=$F$24)</f>
        <v>0</v>
      </c>
    </row>
    <row r="48" spans="2:22" x14ac:dyDescent="0.15">
      <c r="B48" s="255" t="s">
        <v>140</v>
      </c>
      <c r="C48" s="256"/>
      <c r="E48" s="262">
        <f>SUM('Détail trésorerie'!Y8:AB37)/F24/12</f>
        <v>332.7042386485943</v>
      </c>
      <c r="M48" s="191"/>
      <c r="Q48" s="232">
        <f ca="1">YEAR(TODAY())+'Détail trésorerie'!Q24</f>
        <v>2041</v>
      </c>
      <c r="R48" s="233">
        <f>'Détail trésorerie'!R24</f>
        <v>0</v>
      </c>
      <c r="S48" s="233">
        <f t="shared" ca="1" si="0"/>
        <v>0</v>
      </c>
      <c r="T48" s="233">
        <f ca="1">'Détail trésorerie'!AD24-'Détail trésorerie'!X24</f>
        <v>0</v>
      </c>
      <c r="U48" s="233">
        <f ca="1">MAX(S48-R48+SUM($T$31:T48),0)*(Q48-$Q$31&lt;=$F$24)</f>
        <v>0</v>
      </c>
      <c r="V48" s="233">
        <f ca="1">-MIN(SUM($T$31:T48),0)*(Q48-$Q$31&lt;=$F$24)</f>
        <v>0</v>
      </c>
    </row>
    <row r="49" spans="2:22" x14ac:dyDescent="0.15">
      <c r="B49" s="255" t="s">
        <v>141</v>
      </c>
      <c r="C49" s="256"/>
      <c r="E49" s="262">
        <f ca="1">SUM('Détail trésorerie'!AC8:AC37)/F24/12</f>
        <v>0</v>
      </c>
      <c r="M49" s="191"/>
      <c r="Q49" s="232">
        <f ca="1">YEAR(TODAY())+'Détail trésorerie'!Q25</f>
        <v>2042</v>
      </c>
      <c r="R49" s="233">
        <f>'Détail trésorerie'!R25</f>
        <v>0</v>
      </c>
      <c r="S49" s="233">
        <f t="shared" ca="1" si="0"/>
        <v>0</v>
      </c>
      <c r="T49" s="233">
        <f ca="1">'Détail trésorerie'!AD25-'Détail trésorerie'!X25</f>
        <v>0</v>
      </c>
      <c r="U49" s="233">
        <f ca="1">MAX(S49-R49+SUM($T$31:T49),0)*(Q49-$Q$31&lt;=$F$24)</f>
        <v>0</v>
      </c>
      <c r="V49" s="233">
        <f ca="1">-MIN(SUM($T$31:T49),0)*(Q49-$Q$31&lt;=$F$24)</f>
        <v>0</v>
      </c>
    </row>
    <row r="50" spans="2:22" x14ac:dyDescent="0.15">
      <c r="B50" s="263" t="s">
        <v>142</v>
      </c>
      <c r="C50" s="264"/>
      <c r="D50" s="265"/>
      <c r="E50" s="266">
        <f ca="1">SUMPRODUCT(('Détail trésorerie'!B8:B368&lt;12*F24)*'Détail trésorerie'!O8:O368)/(12*F24-1)</f>
        <v>-136.98327723786363</v>
      </c>
      <c r="F50" s="267"/>
      <c r="M50" s="191"/>
      <c r="N50" s="268"/>
      <c r="Q50" s="232">
        <f ca="1">YEAR(TODAY())+'Détail trésorerie'!Q26</f>
        <v>2043</v>
      </c>
      <c r="R50" s="233">
        <f>'Détail trésorerie'!R26</f>
        <v>0</v>
      </c>
      <c r="S50" s="233">
        <f t="shared" ca="1" si="0"/>
        <v>0</v>
      </c>
      <c r="T50" s="233">
        <f ca="1">'Détail trésorerie'!AD26-'Détail trésorerie'!X26</f>
        <v>0</v>
      </c>
      <c r="U50" s="233">
        <f ca="1">MAX(S50-R50+SUM($T$31:T50),0)*(Q50-$Q$31&lt;=$F$24)</f>
        <v>0</v>
      </c>
      <c r="V50" s="233">
        <f ca="1">-MIN(SUM($T$31:T50),0)*(Q50-$Q$31&lt;=$F$24)</f>
        <v>0</v>
      </c>
    </row>
    <row r="51" spans="2:22" x14ac:dyDescent="0.15">
      <c r="D51" s="197"/>
      <c r="M51" s="191"/>
      <c r="N51" s="268"/>
      <c r="Q51" s="232">
        <f ca="1">YEAR(TODAY())+'Détail trésorerie'!Q27</f>
        <v>2044</v>
      </c>
      <c r="R51" s="233">
        <f>'Détail trésorerie'!R27</f>
        <v>0</v>
      </c>
      <c r="S51" s="233">
        <f t="shared" ca="1" si="0"/>
        <v>0</v>
      </c>
      <c r="T51" s="233">
        <f ca="1">'Détail trésorerie'!AD27-'Détail trésorerie'!X27</f>
        <v>0</v>
      </c>
      <c r="U51" s="233">
        <f ca="1">MAX(S51-R51+SUM($T$31:T51),0)*(Q51-$Q$31&lt;=$F$24)</f>
        <v>0</v>
      </c>
      <c r="V51" s="233">
        <f ca="1">-MIN(SUM($T$31:T51),0)*(Q51-$Q$31&lt;=$F$24)</f>
        <v>0</v>
      </c>
    </row>
    <row r="52" spans="2:22" ht="16" x14ac:dyDescent="0.2">
      <c r="B52" s="234" t="s">
        <v>143</v>
      </c>
      <c r="D52" s="197"/>
      <c r="G52" s="269"/>
      <c r="M52" s="191"/>
      <c r="Q52" s="194"/>
      <c r="R52" s="194"/>
      <c r="S52" s="194"/>
      <c r="T52" s="194"/>
      <c r="U52" s="194"/>
      <c r="V52" s="194"/>
    </row>
    <row r="53" spans="2:22" x14ac:dyDescent="0.15">
      <c r="B53" s="235" t="s">
        <v>144</v>
      </c>
      <c r="C53" s="270"/>
      <c r="D53" s="253"/>
      <c r="E53" s="248">
        <f>SUM('Détail trésorerie'!H7:H367)</f>
        <v>152190.03615836354</v>
      </c>
      <c r="F53" s="271" t="str">
        <f ca="1">"soit "&amp;TEXT(E53/SUM($E$53:$E$55),"0,00%")</f>
        <v>soit 88,55%</v>
      </c>
      <c r="G53" s="269"/>
      <c r="M53" s="191"/>
    </row>
    <row r="54" spans="2:22" x14ac:dyDescent="0.15">
      <c r="B54" s="255" t="s">
        <v>145</v>
      </c>
      <c r="C54" s="272"/>
      <c r="D54" s="197"/>
      <c r="E54" s="273">
        <f ca="1">-MIN(SUM('Détail trésorerie'!N7:N367),0)</f>
        <v>0</v>
      </c>
      <c r="F54" s="274" t="str">
        <f ca="1">"soit "&amp;TEXT(E54/SUM($E$53:$E$55),"0,00%")</f>
        <v>soit 0,00%</v>
      </c>
      <c r="G54" s="269"/>
      <c r="M54" s="191"/>
    </row>
    <row r="55" spans="2:22" x14ac:dyDescent="0.15">
      <c r="B55" s="258" t="s">
        <v>146</v>
      </c>
      <c r="C55" s="240"/>
      <c r="D55" s="259"/>
      <c r="E55" s="275">
        <f ca="1">-MIN(SUM('Détail trésorerie'!O7:O368)-SUM('Détail trésorerie'!I8:I367),0)</f>
        <v>19683.359567171981</v>
      </c>
      <c r="F55" s="276" t="str">
        <f ca="1">"soit "&amp;TEXT(E55/SUM($E$53:$E$55),"0,00%")</f>
        <v>soit 11,45%</v>
      </c>
      <c r="M55" s="191"/>
    </row>
    <row r="56" spans="2:22" x14ac:dyDescent="0.15">
      <c r="D56" s="197"/>
      <c r="M56" s="191"/>
    </row>
    <row r="57" spans="2:22" ht="16" x14ac:dyDescent="0.2">
      <c r="B57" s="234" t="s">
        <v>147</v>
      </c>
      <c r="M57" s="191"/>
    </row>
    <row r="58" spans="2:22" x14ac:dyDescent="0.15">
      <c r="B58" s="235" t="s">
        <v>148</v>
      </c>
      <c r="C58" s="270"/>
      <c r="D58" s="277"/>
      <c r="E58" s="278">
        <f>C13</f>
        <v>178400</v>
      </c>
      <c r="M58" s="191"/>
      <c r="S58" s="279"/>
    </row>
    <row r="59" spans="2:22" x14ac:dyDescent="0.15">
      <c r="B59" s="258" t="s">
        <v>149</v>
      </c>
      <c r="C59" s="280"/>
      <c r="D59" s="281"/>
      <c r="E59" s="282">
        <f>C16*(1+F15)^F24</f>
        <v>13521.900361583637</v>
      </c>
      <c r="M59" s="191"/>
    </row>
    <row r="60" spans="2:22" x14ac:dyDescent="0.15">
      <c r="M60" s="191"/>
    </row>
    <row r="61" spans="2:22" ht="16" x14ac:dyDescent="0.2">
      <c r="B61" s="234" t="s">
        <v>150</v>
      </c>
      <c r="M61" s="191"/>
    </row>
    <row r="62" spans="2:22" x14ac:dyDescent="0.15">
      <c r="B62" s="235" t="str">
        <f ca="1">"Valorisation du bien en "&amp;YEAR(TODAY())+F24</f>
        <v>Valorisation du bien en 2036</v>
      </c>
      <c r="C62" s="270"/>
      <c r="D62" s="277"/>
      <c r="E62" s="278">
        <f>F22</f>
        <v>177812.98975482484</v>
      </c>
      <c r="M62" s="191"/>
    </row>
    <row r="63" spans="2:22" x14ac:dyDescent="0.15">
      <c r="B63" s="255" t="s">
        <v>151</v>
      </c>
      <c r="C63" s="256"/>
      <c r="D63" s="283"/>
      <c r="E63" s="284">
        <f>VLOOKUP(F24,'Détail trésorerie'!$Q$7:$R$37,2,FALSE)</f>
        <v>77830.855107817799</v>
      </c>
      <c r="M63" s="191"/>
    </row>
    <row r="64" spans="2:22" x14ac:dyDescent="0.15">
      <c r="B64" s="255" t="s">
        <v>152</v>
      </c>
      <c r="C64" s="256"/>
      <c r="D64" s="283"/>
      <c r="E64" s="284">
        <f>VLOOKUP(C27,'Comparatif fiscal'!B8:E17,4,FALSE)</f>
        <v>1157.6772543422198</v>
      </c>
      <c r="M64" s="191"/>
    </row>
    <row r="65" spans="2:13" x14ac:dyDescent="0.15">
      <c r="B65" s="285" t="s">
        <v>153</v>
      </c>
      <c r="C65" s="286"/>
      <c r="D65" s="287"/>
      <c r="E65" s="288">
        <f>E62-E63-E64</f>
        <v>98824.457392664815</v>
      </c>
      <c r="M65" s="191"/>
    </row>
    <row r="66" spans="2:13" x14ac:dyDescent="0.15">
      <c r="M66" s="191"/>
    </row>
    <row r="67" spans="2:13" ht="16" x14ac:dyDescent="0.2">
      <c r="B67" s="234" t="s">
        <v>154</v>
      </c>
      <c r="M67" s="191"/>
    </row>
    <row r="68" spans="2:13" x14ac:dyDescent="0.15">
      <c r="B68" s="289" t="s">
        <v>155</v>
      </c>
      <c r="C68" s="290"/>
      <c r="D68" s="291"/>
      <c r="E68" s="292">
        <f ca="1">IFERROR(IRR('Détail trésorerie'!AD7:AD37),"nd%")</f>
        <v>0.24747338188956292</v>
      </c>
      <c r="M68" s="191"/>
    </row>
    <row r="69" spans="2:13" x14ac:dyDescent="0.15">
      <c r="B69" s="249" t="s">
        <v>124</v>
      </c>
      <c r="C69" s="293"/>
      <c r="D69" s="259"/>
      <c r="E69" s="242">
        <f ca="1">E65-E55</f>
        <v>79141.097825492834</v>
      </c>
      <c r="M69" s="191"/>
    </row>
    <row r="70" spans="2:13" x14ac:dyDescent="0.15">
      <c r="M70" s="191"/>
    </row>
    <row r="71" spans="2:13" x14ac:dyDescent="0.15">
      <c r="M71" s="191"/>
    </row>
    <row r="72" spans="2:13" x14ac:dyDescent="0.15">
      <c r="M72" s="191"/>
    </row>
    <row r="73" spans="2:13" x14ac:dyDescent="0.15">
      <c r="M73" s="191"/>
    </row>
    <row r="74" spans="2:13" x14ac:dyDescent="0.15">
      <c r="M74" s="191"/>
    </row>
    <row r="75" spans="2:13" x14ac:dyDescent="0.15">
      <c r="M75" s="191"/>
    </row>
    <row r="76" spans="2:13" x14ac:dyDescent="0.15">
      <c r="M76" s="191"/>
    </row>
    <row r="77" spans="2:13" x14ac:dyDescent="0.15">
      <c r="M77" s="191"/>
    </row>
    <row r="78" spans="2:13" x14ac:dyDescent="0.15">
      <c r="M78" s="191"/>
    </row>
    <row r="79" spans="2:13" x14ac:dyDescent="0.15">
      <c r="M79" s="191"/>
    </row>
    <row r="80" spans="2:13" x14ac:dyDescent="0.15">
      <c r="M80" s="191"/>
    </row>
    <row r="81" spans="13:15" x14ac:dyDescent="0.15">
      <c r="M81" s="191"/>
    </row>
    <row r="82" spans="13:15" x14ac:dyDescent="0.15">
      <c r="M82" s="191"/>
    </row>
    <row r="83" spans="13:15" x14ac:dyDescent="0.15">
      <c r="M83" s="191"/>
    </row>
    <row r="84" spans="13:15" x14ac:dyDescent="0.15">
      <c r="M84" s="191"/>
    </row>
    <row r="85" spans="13:15" x14ac:dyDescent="0.15">
      <c r="M85" s="191"/>
    </row>
    <row r="86" spans="13:15" x14ac:dyDescent="0.15">
      <c r="M86" s="191"/>
    </row>
    <row r="87" spans="13:15" x14ac:dyDescent="0.15">
      <c r="M87" s="191"/>
    </row>
    <row r="88" spans="13:15" x14ac:dyDescent="0.15">
      <c r="M88" s="191"/>
    </row>
    <row r="89" spans="13:15" x14ac:dyDescent="0.15">
      <c r="M89" s="191"/>
    </row>
    <row r="90" spans="13:15" x14ac:dyDescent="0.15">
      <c r="M90" s="191"/>
    </row>
    <row r="91" spans="13:15" x14ac:dyDescent="0.15">
      <c r="M91" s="191"/>
      <c r="N91" s="191"/>
    </row>
    <row r="92" spans="13:15" x14ac:dyDescent="0.15">
      <c r="M92" s="191"/>
      <c r="N92" s="191"/>
      <c r="O92" s="191"/>
    </row>
    <row r="93" spans="13:15" x14ac:dyDescent="0.15">
      <c r="M93" s="191"/>
      <c r="N93" s="191"/>
      <c r="O93" s="191"/>
    </row>
    <row r="94" spans="13:15" x14ac:dyDescent="0.15">
      <c r="M94" s="191"/>
      <c r="N94" s="191"/>
      <c r="O94" s="191"/>
    </row>
    <row r="95" spans="13:15" x14ac:dyDescent="0.15">
      <c r="M95" s="191"/>
      <c r="N95" s="191"/>
      <c r="O95" s="191"/>
    </row>
    <row r="96" spans="13:15" x14ac:dyDescent="0.15">
      <c r="M96" s="191"/>
      <c r="N96" s="191"/>
      <c r="O96" s="191"/>
    </row>
    <row r="97" spans="13:15" x14ac:dyDescent="0.15">
      <c r="M97" s="191"/>
      <c r="N97" s="191"/>
      <c r="O97" s="191"/>
    </row>
    <row r="98" spans="13:15" x14ac:dyDescent="0.15">
      <c r="M98" s="191"/>
      <c r="N98" s="191"/>
      <c r="O98" s="191"/>
    </row>
    <row r="99" spans="13:15" x14ac:dyDescent="0.15">
      <c r="M99" s="191"/>
      <c r="N99" s="191"/>
      <c r="O99" s="191"/>
    </row>
    <row r="100" spans="13:15" x14ac:dyDescent="0.15">
      <c r="M100" s="191"/>
      <c r="N100" s="191"/>
      <c r="O100" s="191"/>
    </row>
    <row r="101" spans="13:15" x14ac:dyDescent="0.15">
      <c r="M101" s="191"/>
      <c r="N101" s="191"/>
      <c r="O101" s="191"/>
    </row>
    <row r="102" spans="13:15" x14ac:dyDescent="0.15">
      <c r="M102" s="191"/>
      <c r="N102" s="191"/>
      <c r="O102" s="191"/>
    </row>
    <row r="103" spans="13:15" x14ac:dyDescent="0.15">
      <c r="M103" s="191"/>
      <c r="N103" s="191"/>
      <c r="O103" s="191"/>
    </row>
    <row r="104" spans="13:15" x14ac:dyDescent="0.15">
      <c r="M104" s="191"/>
      <c r="N104" s="191"/>
      <c r="O104" s="191"/>
    </row>
    <row r="105" spans="13:15" x14ac:dyDescent="0.15">
      <c r="M105" s="191"/>
      <c r="N105" s="191"/>
      <c r="O105" s="191"/>
    </row>
    <row r="106" spans="13:15" x14ac:dyDescent="0.15">
      <c r="M106" s="191"/>
      <c r="N106" s="191"/>
      <c r="O106" s="191"/>
    </row>
    <row r="107" spans="13:15" x14ac:dyDescent="0.15">
      <c r="M107" s="191"/>
      <c r="N107" s="191"/>
      <c r="O107" s="191"/>
    </row>
    <row r="108" spans="13:15" x14ac:dyDescent="0.15">
      <c r="M108" s="191"/>
      <c r="N108" s="191"/>
      <c r="O108" s="191"/>
    </row>
    <row r="109" spans="13:15" x14ac:dyDescent="0.15">
      <c r="M109" s="191"/>
      <c r="N109" s="191"/>
      <c r="O109" s="191"/>
    </row>
    <row r="110" spans="13:15" x14ac:dyDescent="0.15">
      <c r="M110" s="191"/>
      <c r="N110" s="191"/>
      <c r="O110" s="191"/>
    </row>
    <row r="111" spans="13:15" x14ac:dyDescent="0.15">
      <c r="M111" s="191"/>
      <c r="N111" s="191"/>
      <c r="O111" s="191"/>
    </row>
    <row r="112" spans="13:15" x14ac:dyDescent="0.15">
      <c r="M112" s="191"/>
      <c r="N112" s="191"/>
      <c r="O112" s="191"/>
    </row>
    <row r="113" spans="13:15" x14ac:dyDescent="0.15">
      <c r="M113" s="191"/>
      <c r="N113" s="191"/>
      <c r="O113" s="191"/>
    </row>
    <row r="114" spans="13:15" x14ac:dyDescent="0.15">
      <c r="M114" s="191"/>
      <c r="N114" s="191"/>
      <c r="O114" s="191"/>
    </row>
    <row r="115" spans="13:15" x14ac:dyDescent="0.15">
      <c r="M115" s="191"/>
      <c r="N115" s="191"/>
      <c r="O115" s="191"/>
    </row>
    <row r="116" spans="13:15" x14ac:dyDescent="0.15">
      <c r="M116" s="191"/>
      <c r="N116" s="191"/>
      <c r="O116" s="191"/>
    </row>
    <row r="117" spans="13:15" x14ac:dyDescent="0.15">
      <c r="M117" s="191"/>
      <c r="N117" s="191"/>
      <c r="O117" s="191"/>
    </row>
    <row r="118" spans="13:15" x14ac:dyDescent="0.15">
      <c r="M118" s="191"/>
      <c r="N118" s="191"/>
      <c r="O118" s="191"/>
    </row>
    <row r="119" spans="13:15" x14ac:dyDescent="0.15">
      <c r="M119" s="191"/>
      <c r="N119" s="191"/>
      <c r="O119" s="191"/>
    </row>
    <row r="120" spans="13:15" x14ac:dyDescent="0.15">
      <c r="M120" s="191"/>
      <c r="N120" s="191"/>
      <c r="O120" s="191"/>
    </row>
    <row r="121" spans="13:15" x14ac:dyDescent="0.15">
      <c r="M121" s="191"/>
      <c r="N121" s="191"/>
      <c r="O121" s="191"/>
    </row>
    <row r="122" spans="13:15" x14ac:dyDescent="0.15">
      <c r="M122" s="191"/>
      <c r="N122" s="191"/>
      <c r="O122" s="191"/>
    </row>
    <row r="123" spans="13:15" x14ac:dyDescent="0.15">
      <c r="M123" s="191"/>
      <c r="N123" s="191"/>
      <c r="O123" s="191"/>
    </row>
    <row r="124" spans="13:15" x14ac:dyDescent="0.15">
      <c r="M124" s="191"/>
      <c r="N124" s="191"/>
      <c r="O124" s="191"/>
    </row>
    <row r="125" spans="13:15" x14ac:dyDescent="0.15">
      <c r="M125" s="191"/>
      <c r="N125" s="191"/>
      <c r="O125" s="191"/>
    </row>
    <row r="126" spans="13:15" x14ac:dyDescent="0.15">
      <c r="M126" s="191"/>
      <c r="N126" s="191"/>
      <c r="O126" s="191"/>
    </row>
    <row r="127" spans="13:15" x14ac:dyDescent="0.15">
      <c r="M127" s="191"/>
      <c r="N127" s="191"/>
      <c r="O127" s="191"/>
    </row>
    <row r="128" spans="13:15" x14ac:dyDescent="0.15">
      <c r="M128" s="191"/>
      <c r="N128" s="191"/>
      <c r="O128" s="191"/>
    </row>
    <row r="129" spans="13:15" x14ac:dyDescent="0.15">
      <c r="M129" s="191"/>
      <c r="N129" s="191"/>
      <c r="O129" s="191"/>
    </row>
    <row r="130" spans="13:15" x14ac:dyDescent="0.15">
      <c r="M130" s="191"/>
      <c r="N130" s="191"/>
      <c r="O130" s="191"/>
    </row>
    <row r="131" spans="13:15" x14ac:dyDescent="0.15">
      <c r="M131" s="191"/>
      <c r="N131" s="191"/>
      <c r="O131" s="191"/>
    </row>
    <row r="132" spans="13:15" x14ac:dyDescent="0.15">
      <c r="M132" s="191"/>
      <c r="N132" s="191"/>
      <c r="O132" s="191"/>
    </row>
    <row r="133" spans="13:15" x14ac:dyDescent="0.15">
      <c r="M133" s="191"/>
      <c r="N133" s="191"/>
      <c r="O133" s="191"/>
    </row>
    <row r="134" spans="13:15" x14ac:dyDescent="0.15">
      <c r="M134" s="191"/>
      <c r="N134" s="191"/>
      <c r="O134" s="191"/>
    </row>
    <row r="135" spans="13:15" x14ac:dyDescent="0.15">
      <c r="M135" s="191"/>
      <c r="N135" s="191"/>
      <c r="O135" s="191"/>
    </row>
    <row r="136" spans="13:15" x14ac:dyDescent="0.15">
      <c r="M136" s="191"/>
      <c r="N136" s="191"/>
      <c r="O136" s="191"/>
    </row>
    <row r="137" spans="13:15" x14ac:dyDescent="0.15">
      <c r="M137" s="191"/>
      <c r="N137" s="191"/>
      <c r="O137" s="191"/>
    </row>
    <row r="138" spans="13:15" x14ac:dyDescent="0.15">
      <c r="M138" s="191"/>
      <c r="N138" s="191"/>
      <c r="O138" s="191"/>
    </row>
    <row r="139" spans="13:15" x14ac:dyDescent="0.15">
      <c r="M139" s="191"/>
      <c r="N139" s="191"/>
      <c r="O139" s="191"/>
    </row>
    <row r="140" spans="13:15" x14ac:dyDescent="0.15">
      <c r="M140" s="191"/>
      <c r="N140" s="191"/>
      <c r="O140" s="191"/>
    </row>
    <row r="141" spans="13:15" x14ac:dyDescent="0.15">
      <c r="M141" s="191"/>
      <c r="N141" s="191"/>
      <c r="O141" s="191"/>
    </row>
    <row r="142" spans="13:15" x14ac:dyDescent="0.15">
      <c r="M142" s="191"/>
      <c r="N142" s="191"/>
      <c r="O142" s="191"/>
    </row>
    <row r="143" spans="13:15" x14ac:dyDescent="0.15">
      <c r="M143" s="191"/>
      <c r="N143" s="191"/>
      <c r="O143" s="191"/>
    </row>
    <row r="144" spans="13:15" x14ac:dyDescent="0.15">
      <c r="M144" s="191"/>
      <c r="N144" s="191"/>
      <c r="O144" s="191"/>
    </row>
    <row r="145" spans="13:15" x14ac:dyDescent="0.15">
      <c r="M145" s="191"/>
      <c r="N145" s="191"/>
      <c r="O145" s="191"/>
    </row>
    <row r="146" spans="13:15" x14ac:dyDescent="0.15">
      <c r="M146" s="191"/>
      <c r="N146" s="191"/>
      <c r="O146" s="191"/>
    </row>
    <row r="147" spans="13:15" x14ac:dyDescent="0.15">
      <c r="M147" s="191"/>
      <c r="N147" s="191"/>
      <c r="O147" s="191"/>
    </row>
    <row r="148" spans="13:15" x14ac:dyDescent="0.15">
      <c r="M148" s="191"/>
      <c r="N148" s="191"/>
      <c r="O148" s="191"/>
    </row>
    <row r="149" spans="13:15" x14ac:dyDescent="0.15">
      <c r="M149" s="191"/>
      <c r="N149" s="191"/>
      <c r="O149" s="191"/>
    </row>
    <row r="150" spans="13:15" x14ac:dyDescent="0.15">
      <c r="M150" s="191"/>
      <c r="N150" s="191"/>
      <c r="O150" s="191"/>
    </row>
    <row r="151" spans="13:15" x14ac:dyDescent="0.15">
      <c r="M151" s="191"/>
      <c r="N151" s="191"/>
      <c r="O151" s="191"/>
    </row>
    <row r="152" spans="13:15" x14ac:dyDescent="0.15">
      <c r="M152" s="191"/>
      <c r="N152" s="191"/>
      <c r="O152" s="191"/>
    </row>
    <row r="153" spans="13:15" x14ac:dyDescent="0.15">
      <c r="M153" s="191"/>
      <c r="N153" s="191"/>
      <c r="O153" s="191"/>
    </row>
    <row r="154" spans="13:15" x14ac:dyDescent="0.15">
      <c r="M154" s="191"/>
      <c r="N154" s="191"/>
      <c r="O154" s="191"/>
    </row>
    <row r="155" spans="13:15" x14ac:dyDescent="0.15">
      <c r="M155" s="191"/>
      <c r="N155" s="191"/>
      <c r="O155" s="191"/>
    </row>
    <row r="156" spans="13:15" x14ac:dyDescent="0.15">
      <c r="M156" s="191"/>
      <c r="N156" s="191"/>
      <c r="O156" s="191"/>
    </row>
    <row r="157" spans="13:15" x14ac:dyDescent="0.15">
      <c r="M157" s="191"/>
      <c r="N157" s="191"/>
      <c r="O157" s="191"/>
    </row>
    <row r="158" spans="13:15" x14ac:dyDescent="0.15">
      <c r="M158" s="191"/>
      <c r="N158" s="191"/>
      <c r="O158" s="191"/>
    </row>
    <row r="159" spans="13:15" x14ac:dyDescent="0.15">
      <c r="M159" s="191"/>
      <c r="N159" s="191"/>
      <c r="O159" s="191"/>
    </row>
    <row r="160" spans="13:15" x14ac:dyDescent="0.15">
      <c r="M160" s="191"/>
      <c r="N160" s="191"/>
      <c r="O160" s="191"/>
    </row>
    <row r="161" spans="13:15" x14ac:dyDescent="0.15">
      <c r="M161" s="191"/>
      <c r="N161" s="191"/>
      <c r="O161" s="191"/>
    </row>
    <row r="162" spans="13:15" x14ac:dyDescent="0.15">
      <c r="M162" s="191"/>
      <c r="N162" s="191"/>
      <c r="O162" s="191"/>
    </row>
    <row r="163" spans="13:15" x14ac:dyDescent="0.15">
      <c r="M163" s="191"/>
      <c r="N163" s="191"/>
      <c r="O163" s="191"/>
    </row>
    <row r="164" spans="13:15" x14ac:dyDescent="0.15">
      <c r="M164" s="191"/>
      <c r="N164" s="191"/>
      <c r="O164" s="191"/>
    </row>
    <row r="165" spans="13:15" x14ac:dyDescent="0.15">
      <c r="M165" s="191"/>
      <c r="N165" s="191"/>
      <c r="O165" s="191"/>
    </row>
    <row r="166" spans="13:15" x14ac:dyDescent="0.15">
      <c r="M166" s="191"/>
      <c r="N166" s="191"/>
      <c r="O166" s="191"/>
    </row>
    <row r="167" spans="13:15" x14ac:dyDescent="0.15">
      <c r="M167" s="191"/>
      <c r="N167" s="191"/>
      <c r="O167" s="191"/>
    </row>
    <row r="168" spans="13:15" x14ac:dyDescent="0.15">
      <c r="M168" s="191"/>
      <c r="N168" s="191"/>
      <c r="O168" s="191"/>
    </row>
    <row r="169" spans="13:15" x14ac:dyDescent="0.15">
      <c r="M169" s="191"/>
      <c r="N169" s="191"/>
      <c r="O169" s="191"/>
    </row>
    <row r="170" spans="13:15" x14ac:dyDescent="0.15">
      <c r="M170" s="191"/>
      <c r="N170" s="191"/>
      <c r="O170" s="191"/>
    </row>
    <row r="171" spans="13:15" x14ac:dyDescent="0.15">
      <c r="M171" s="191"/>
      <c r="N171" s="191"/>
      <c r="O171" s="191"/>
    </row>
    <row r="172" spans="13:15" x14ac:dyDescent="0.15">
      <c r="M172" s="191"/>
      <c r="N172" s="191"/>
      <c r="O172" s="191"/>
    </row>
    <row r="173" spans="13:15" x14ac:dyDescent="0.15">
      <c r="M173" s="191"/>
      <c r="N173" s="191"/>
      <c r="O173" s="191"/>
    </row>
    <row r="174" spans="13:15" x14ac:dyDescent="0.15">
      <c r="M174" s="191"/>
      <c r="N174" s="191"/>
      <c r="O174" s="191"/>
    </row>
    <row r="175" spans="13:15" x14ac:dyDescent="0.15">
      <c r="M175" s="191"/>
      <c r="N175" s="191"/>
      <c r="O175" s="191"/>
    </row>
    <row r="176" spans="13:15" x14ac:dyDescent="0.15">
      <c r="M176" s="191"/>
      <c r="N176" s="191"/>
      <c r="O176" s="191"/>
    </row>
    <row r="177" spans="13:15" x14ac:dyDescent="0.15">
      <c r="M177" s="191"/>
      <c r="N177" s="191"/>
      <c r="O177" s="191"/>
    </row>
    <row r="178" spans="13:15" x14ac:dyDescent="0.15">
      <c r="M178" s="191"/>
      <c r="N178" s="191"/>
      <c r="O178" s="191"/>
    </row>
    <row r="179" spans="13:15" x14ac:dyDescent="0.15">
      <c r="M179" s="191"/>
      <c r="N179" s="191"/>
      <c r="O179" s="191"/>
    </row>
    <row r="180" spans="13:15" x14ac:dyDescent="0.15">
      <c r="M180" s="191"/>
      <c r="N180" s="191"/>
      <c r="O180" s="191"/>
    </row>
    <row r="181" spans="13:15" x14ac:dyDescent="0.15">
      <c r="M181" s="191"/>
      <c r="N181" s="191"/>
      <c r="O181" s="191"/>
    </row>
    <row r="182" spans="13:15" x14ac:dyDescent="0.15">
      <c r="M182" s="191"/>
      <c r="N182" s="191"/>
      <c r="O182" s="191"/>
    </row>
    <row r="183" spans="13:15" x14ac:dyDescent="0.15">
      <c r="M183" s="191"/>
      <c r="N183" s="191"/>
      <c r="O183" s="191"/>
    </row>
    <row r="184" spans="13:15" x14ac:dyDescent="0.15">
      <c r="M184" s="191"/>
      <c r="N184" s="191"/>
      <c r="O184" s="191"/>
    </row>
    <row r="185" spans="13:15" x14ac:dyDescent="0.15">
      <c r="M185" s="191"/>
      <c r="N185" s="191"/>
      <c r="O185" s="191"/>
    </row>
    <row r="186" spans="13:15" x14ac:dyDescent="0.15">
      <c r="M186" s="191"/>
      <c r="N186" s="191"/>
      <c r="O186" s="191"/>
    </row>
    <row r="187" spans="13:15" x14ac:dyDescent="0.15">
      <c r="M187" s="191"/>
      <c r="N187" s="191"/>
      <c r="O187" s="191"/>
    </row>
    <row r="188" spans="13:15" x14ac:dyDescent="0.15">
      <c r="M188" s="191"/>
      <c r="N188" s="191"/>
      <c r="O188" s="191"/>
    </row>
    <row r="189" spans="13:15" x14ac:dyDescent="0.15">
      <c r="M189" s="191"/>
      <c r="N189" s="191"/>
      <c r="O189" s="191"/>
    </row>
    <row r="190" spans="13:15" x14ac:dyDescent="0.15">
      <c r="M190" s="191"/>
      <c r="N190" s="191"/>
      <c r="O190" s="191"/>
    </row>
    <row r="191" spans="13:15" x14ac:dyDescent="0.15">
      <c r="M191" s="191"/>
      <c r="N191" s="191"/>
      <c r="O191" s="191"/>
    </row>
    <row r="192" spans="13:15" x14ac:dyDescent="0.15">
      <c r="M192" s="191"/>
      <c r="N192" s="191"/>
      <c r="O192" s="191"/>
    </row>
    <row r="193" spans="13:15" x14ac:dyDescent="0.15">
      <c r="M193" s="191"/>
      <c r="N193" s="191"/>
      <c r="O193" s="191"/>
    </row>
    <row r="194" spans="13:15" x14ac:dyDescent="0.15">
      <c r="M194" s="191"/>
      <c r="N194" s="191"/>
      <c r="O194" s="191"/>
    </row>
    <row r="195" spans="13:15" x14ac:dyDescent="0.15">
      <c r="M195" s="191"/>
      <c r="N195" s="191"/>
      <c r="O195" s="191"/>
    </row>
    <row r="196" spans="13:15" x14ac:dyDescent="0.15">
      <c r="M196" s="191"/>
      <c r="N196" s="191"/>
      <c r="O196" s="191"/>
    </row>
    <row r="197" spans="13:15" x14ac:dyDescent="0.15">
      <c r="M197" s="191"/>
      <c r="N197" s="191"/>
      <c r="O197" s="191"/>
    </row>
    <row r="198" spans="13:15" x14ac:dyDescent="0.15">
      <c r="M198" s="191"/>
      <c r="N198" s="191"/>
      <c r="O198" s="191"/>
    </row>
    <row r="199" spans="13:15" x14ac:dyDescent="0.15">
      <c r="M199" s="191"/>
      <c r="N199" s="191"/>
      <c r="O199" s="191"/>
    </row>
    <row r="200" spans="13:15" x14ac:dyDescent="0.15">
      <c r="M200" s="191"/>
      <c r="N200" s="191"/>
      <c r="O200" s="191"/>
    </row>
    <row r="201" spans="13:15" x14ac:dyDescent="0.15">
      <c r="M201" s="191"/>
      <c r="N201" s="191"/>
      <c r="O201" s="191"/>
    </row>
    <row r="202" spans="13:15" x14ac:dyDescent="0.15">
      <c r="M202" s="191"/>
      <c r="N202" s="191"/>
      <c r="O202" s="191"/>
    </row>
    <row r="203" spans="13:15" x14ac:dyDescent="0.15">
      <c r="M203" s="191"/>
      <c r="N203" s="191"/>
      <c r="O203" s="191"/>
    </row>
    <row r="204" spans="13:15" x14ac:dyDescent="0.15">
      <c r="M204" s="191"/>
      <c r="N204" s="191"/>
      <c r="O204" s="191"/>
    </row>
    <row r="205" spans="13:15" x14ac:dyDescent="0.15">
      <c r="M205" s="191"/>
      <c r="N205" s="191"/>
      <c r="O205" s="191"/>
    </row>
    <row r="206" spans="13:15" x14ac:dyDescent="0.15">
      <c r="M206" s="191"/>
      <c r="N206" s="191"/>
      <c r="O206" s="191"/>
    </row>
    <row r="207" spans="13:15" x14ac:dyDescent="0.15">
      <c r="M207" s="191"/>
      <c r="N207" s="191"/>
      <c r="O207" s="191"/>
    </row>
    <row r="208" spans="13:15" x14ac:dyDescent="0.15">
      <c r="M208" s="191"/>
      <c r="N208" s="191"/>
      <c r="O208" s="191"/>
    </row>
    <row r="209" spans="13:15" x14ac:dyDescent="0.15">
      <c r="M209" s="191"/>
      <c r="N209" s="191"/>
      <c r="O209" s="191"/>
    </row>
    <row r="210" spans="13:15" x14ac:dyDescent="0.15">
      <c r="M210" s="191"/>
      <c r="N210" s="191"/>
      <c r="O210" s="191"/>
    </row>
    <row r="211" spans="13:15" x14ac:dyDescent="0.15">
      <c r="M211" s="191"/>
      <c r="N211" s="191"/>
      <c r="O211" s="191"/>
    </row>
    <row r="212" spans="13:15" x14ac:dyDescent="0.15">
      <c r="M212" s="191"/>
      <c r="N212" s="191"/>
      <c r="O212" s="191"/>
    </row>
    <row r="213" spans="13:15" x14ac:dyDescent="0.15">
      <c r="M213" s="191"/>
      <c r="N213" s="191"/>
      <c r="O213" s="191"/>
    </row>
    <row r="214" spans="13:15" x14ac:dyDescent="0.15">
      <c r="M214" s="191"/>
      <c r="N214" s="191"/>
      <c r="O214" s="191"/>
    </row>
    <row r="215" spans="13:15" x14ac:dyDescent="0.15">
      <c r="M215" s="191"/>
      <c r="N215" s="191"/>
      <c r="O215" s="191"/>
    </row>
    <row r="216" spans="13:15" x14ac:dyDescent="0.15">
      <c r="M216" s="191"/>
      <c r="N216" s="191"/>
      <c r="O216" s="191"/>
    </row>
    <row r="217" spans="13:15" x14ac:dyDescent="0.15">
      <c r="M217" s="191"/>
      <c r="N217" s="191"/>
      <c r="O217" s="191"/>
    </row>
    <row r="218" spans="13:15" x14ac:dyDescent="0.15">
      <c r="M218" s="191"/>
      <c r="N218" s="191"/>
      <c r="O218" s="191"/>
    </row>
    <row r="219" spans="13:15" x14ac:dyDescent="0.15">
      <c r="M219" s="191"/>
      <c r="N219" s="191"/>
      <c r="O219" s="191"/>
    </row>
    <row r="220" spans="13:15" x14ac:dyDescent="0.15">
      <c r="M220" s="191"/>
      <c r="N220" s="191"/>
      <c r="O220" s="191"/>
    </row>
    <row r="221" spans="13:15" x14ac:dyDescent="0.15">
      <c r="M221" s="191"/>
      <c r="N221" s="191"/>
      <c r="O221" s="191"/>
    </row>
    <row r="222" spans="13:15" x14ac:dyDescent="0.15">
      <c r="M222" s="191"/>
      <c r="N222" s="191"/>
      <c r="O222" s="191"/>
    </row>
    <row r="223" spans="13:15" x14ac:dyDescent="0.15">
      <c r="M223" s="191"/>
      <c r="N223" s="191"/>
      <c r="O223" s="191"/>
    </row>
    <row r="224" spans="13:15" x14ac:dyDescent="0.15">
      <c r="M224" s="191"/>
      <c r="N224" s="191"/>
      <c r="O224" s="191"/>
    </row>
    <row r="225" spans="13:15" x14ac:dyDescent="0.15">
      <c r="M225" s="191"/>
      <c r="N225" s="191"/>
      <c r="O225" s="191"/>
    </row>
    <row r="226" spans="13:15" x14ac:dyDescent="0.15">
      <c r="M226" s="191"/>
      <c r="N226" s="191"/>
      <c r="O226" s="191"/>
    </row>
    <row r="227" spans="13:15" x14ac:dyDescent="0.15">
      <c r="M227" s="191"/>
      <c r="N227" s="191"/>
      <c r="O227" s="191"/>
    </row>
    <row r="228" spans="13:15" x14ac:dyDescent="0.15">
      <c r="M228" s="191"/>
      <c r="N228" s="191"/>
      <c r="O228" s="191"/>
    </row>
    <row r="229" spans="13:15" x14ac:dyDescent="0.15">
      <c r="M229" s="191"/>
      <c r="N229" s="191"/>
      <c r="O229" s="191"/>
    </row>
    <row r="230" spans="13:15" x14ac:dyDescent="0.15">
      <c r="M230" s="191"/>
      <c r="N230" s="191"/>
      <c r="O230" s="191"/>
    </row>
    <row r="231" spans="13:15" x14ac:dyDescent="0.15">
      <c r="M231" s="191"/>
      <c r="N231" s="191"/>
      <c r="O231" s="191"/>
    </row>
    <row r="232" spans="13:15" x14ac:dyDescent="0.15">
      <c r="M232" s="191"/>
      <c r="N232" s="191"/>
      <c r="O232" s="191"/>
    </row>
    <row r="233" spans="13:15" x14ac:dyDescent="0.15">
      <c r="M233" s="191"/>
      <c r="N233" s="191"/>
      <c r="O233" s="191"/>
    </row>
    <row r="234" spans="13:15" x14ac:dyDescent="0.15">
      <c r="M234" s="191"/>
      <c r="N234" s="191"/>
      <c r="O234" s="191"/>
    </row>
    <row r="235" spans="13:15" x14ac:dyDescent="0.15">
      <c r="M235" s="191"/>
      <c r="N235" s="191"/>
      <c r="O235" s="191"/>
    </row>
    <row r="236" spans="13:15" x14ac:dyDescent="0.15">
      <c r="M236" s="191"/>
      <c r="N236" s="191"/>
      <c r="O236" s="191"/>
    </row>
    <row r="237" spans="13:15" x14ac:dyDescent="0.15">
      <c r="M237" s="191"/>
      <c r="N237" s="191"/>
      <c r="O237" s="191"/>
    </row>
    <row r="238" spans="13:15" x14ac:dyDescent="0.15">
      <c r="M238" s="191"/>
      <c r="N238" s="191"/>
      <c r="O238" s="191"/>
    </row>
    <row r="239" spans="13:15" x14ac:dyDescent="0.15">
      <c r="M239" s="191"/>
      <c r="N239" s="191"/>
      <c r="O239" s="191"/>
    </row>
    <row r="240" spans="13:15" x14ac:dyDescent="0.15">
      <c r="M240" s="191"/>
      <c r="N240" s="191"/>
      <c r="O240" s="191"/>
    </row>
    <row r="241" spans="13:15" x14ac:dyDescent="0.15">
      <c r="M241" s="191"/>
      <c r="N241" s="191"/>
      <c r="O241" s="191"/>
    </row>
    <row r="242" spans="13:15" x14ac:dyDescent="0.15">
      <c r="M242" s="191"/>
      <c r="N242" s="191"/>
      <c r="O242" s="191"/>
    </row>
    <row r="243" spans="13:15" x14ac:dyDescent="0.15">
      <c r="M243" s="191"/>
      <c r="N243" s="191"/>
      <c r="O243" s="191"/>
    </row>
    <row r="244" spans="13:15" x14ac:dyDescent="0.15">
      <c r="M244" s="191"/>
      <c r="N244" s="191"/>
      <c r="O244" s="191"/>
    </row>
    <row r="245" spans="13:15" x14ac:dyDescent="0.15">
      <c r="M245" s="191"/>
      <c r="N245" s="191"/>
      <c r="O245" s="191"/>
    </row>
    <row r="246" spans="13:15" x14ac:dyDescent="0.15">
      <c r="M246" s="191"/>
      <c r="N246" s="191"/>
      <c r="O246" s="191"/>
    </row>
    <row r="247" spans="13:15" x14ac:dyDescent="0.15">
      <c r="M247" s="191"/>
      <c r="N247" s="191"/>
      <c r="O247" s="191"/>
    </row>
    <row r="248" spans="13:15" x14ac:dyDescent="0.15">
      <c r="M248" s="191"/>
      <c r="N248" s="191"/>
      <c r="O248" s="191"/>
    </row>
    <row r="249" spans="13:15" x14ac:dyDescent="0.15">
      <c r="M249" s="191"/>
      <c r="N249" s="191"/>
      <c r="O249" s="191"/>
    </row>
    <row r="250" spans="13:15" x14ac:dyDescent="0.15">
      <c r="M250" s="191"/>
      <c r="N250" s="191"/>
      <c r="O250" s="191"/>
    </row>
    <row r="251" spans="13:15" x14ac:dyDescent="0.15">
      <c r="M251" s="191"/>
      <c r="N251" s="191"/>
      <c r="O251" s="191"/>
    </row>
    <row r="252" spans="13:15" x14ac:dyDescent="0.15">
      <c r="M252" s="191"/>
      <c r="N252" s="191"/>
      <c r="O252" s="191"/>
    </row>
    <row r="253" spans="13:15" x14ac:dyDescent="0.15">
      <c r="M253" s="191"/>
      <c r="N253" s="191"/>
      <c r="O253" s="191"/>
    </row>
    <row r="254" spans="13:15" x14ac:dyDescent="0.15">
      <c r="M254" s="191"/>
      <c r="N254" s="191"/>
      <c r="O254" s="191"/>
    </row>
    <row r="255" spans="13:15" x14ac:dyDescent="0.15">
      <c r="M255" s="191"/>
      <c r="N255" s="191"/>
      <c r="O255" s="191"/>
    </row>
    <row r="256" spans="13:15" x14ac:dyDescent="0.15">
      <c r="M256" s="191"/>
      <c r="N256" s="191"/>
      <c r="O256" s="191"/>
    </row>
    <row r="257" spans="13:15" x14ac:dyDescent="0.15">
      <c r="M257" s="191"/>
      <c r="N257" s="191"/>
      <c r="O257" s="191"/>
    </row>
    <row r="258" spans="13:15" x14ac:dyDescent="0.15">
      <c r="M258" s="191"/>
      <c r="N258" s="191"/>
      <c r="O258" s="191"/>
    </row>
    <row r="259" spans="13:15" x14ac:dyDescent="0.15">
      <c r="M259" s="191"/>
      <c r="N259" s="191"/>
      <c r="O259" s="191"/>
    </row>
    <row r="260" spans="13:15" x14ac:dyDescent="0.15">
      <c r="M260" s="191"/>
      <c r="N260" s="191"/>
      <c r="O260" s="191"/>
    </row>
    <row r="261" spans="13:15" x14ac:dyDescent="0.15">
      <c r="M261" s="191"/>
      <c r="N261" s="191"/>
      <c r="O261" s="191"/>
    </row>
    <row r="262" spans="13:15" x14ac:dyDescent="0.15">
      <c r="M262" s="191"/>
      <c r="N262" s="191"/>
      <c r="O262" s="191"/>
    </row>
    <row r="263" spans="13:15" x14ac:dyDescent="0.15">
      <c r="M263" s="191"/>
      <c r="N263" s="191"/>
      <c r="O263" s="191"/>
    </row>
    <row r="264" spans="13:15" x14ac:dyDescent="0.15">
      <c r="M264" s="191"/>
      <c r="N264" s="191"/>
      <c r="O264" s="191"/>
    </row>
    <row r="265" spans="13:15" x14ac:dyDescent="0.15">
      <c r="M265" s="191"/>
      <c r="N265" s="191"/>
      <c r="O265" s="191"/>
    </row>
    <row r="266" spans="13:15" x14ac:dyDescent="0.15">
      <c r="M266" s="191"/>
      <c r="N266" s="191"/>
      <c r="O266" s="191"/>
    </row>
    <row r="267" spans="13:15" x14ac:dyDescent="0.15">
      <c r="M267" s="191"/>
      <c r="N267" s="191"/>
      <c r="O267" s="191"/>
    </row>
    <row r="268" spans="13:15" x14ac:dyDescent="0.15">
      <c r="M268" s="191"/>
      <c r="N268" s="191"/>
      <c r="O268" s="191"/>
    </row>
    <row r="269" spans="13:15" x14ac:dyDescent="0.15">
      <c r="M269" s="191"/>
      <c r="N269" s="191"/>
      <c r="O269" s="191"/>
    </row>
    <row r="270" spans="13:15" x14ac:dyDescent="0.15">
      <c r="M270" s="191"/>
      <c r="N270" s="191"/>
      <c r="O270" s="191"/>
    </row>
    <row r="271" spans="13:15" x14ac:dyDescent="0.15">
      <c r="M271" s="191"/>
      <c r="N271" s="191"/>
      <c r="O271" s="191"/>
    </row>
    <row r="272" spans="13:15" x14ac:dyDescent="0.15">
      <c r="M272" s="191"/>
      <c r="N272" s="191"/>
      <c r="O272" s="191"/>
    </row>
    <row r="273" spans="13:15" x14ac:dyDescent="0.15">
      <c r="M273" s="191"/>
      <c r="N273" s="191"/>
      <c r="O273" s="191"/>
    </row>
    <row r="274" spans="13:15" x14ac:dyDescent="0.15">
      <c r="M274" s="191"/>
      <c r="N274" s="191"/>
      <c r="O274" s="191"/>
    </row>
    <row r="275" spans="13:15" x14ac:dyDescent="0.15">
      <c r="M275" s="191"/>
      <c r="N275" s="191"/>
      <c r="O275" s="191"/>
    </row>
    <row r="276" spans="13:15" x14ac:dyDescent="0.15">
      <c r="M276" s="191"/>
      <c r="N276" s="191"/>
      <c r="O276" s="191"/>
    </row>
    <row r="277" spans="13:15" x14ac:dyDescent="0.15">
      <c r="M277" s="191"/>
      <c r="N277" s="191"/>
      <c r="O277" s="191"/>
    </row>
    <row r="278" spans="13:15" x14ac:dyDescent="0.15">
      <c r="M278" s="191"/>
      <c r="N278" s="191"/>
      <c r="O278" s="191"/>
    </row>
    <row r="279" spans="13:15" x14ac:dyDescent="0.15">
      <c r="M279" s="191"/>
      <c r="N279" s="191"/>
      <c r="O279" s="191"/>
    </row>
    <row r="280" spans="13:15" x14ac:dyDescent="0.15">
      <c r="M280" s="191"/>
      <c r="N280" s="191"/>
      <c r="O280" s="191"/>
    </row>
    <row r="281" spans="13:15" x14ac:dyDescent="0.15">
      <c r="M281" s="191"/>
      <c r="N281" s="191"/>
      <c r="O281" s="191"/>
    </row>
    <row r="282" spans="13:15" x14ac:dyDescent="0.15">
      <c r="M282" s="191"/>
      <c r="N282" s="191"/>
      <c r="O282" s="191"/>
    </row>
    <row r="283" spans="13:15" x14ac:dyDescent="0.15">
      <c r="M283" s="191"/>
      <c r="N283" s="191"/>
      <c r="O283" s="191"/>
    </row>
    <row r="284" spans="13:15" x14ac:dyDescent="0.15">
      <c r="M284" s="191"/>
      <c r="N284" s="191"/>
      <c r="O284" s="191"/>
    </row>
    <row r="285" spans="13:15" x14ac:dyDescent="0.15">
      <c r="M285" s="191"/>
      <c r="N285" s="191"/>
      <c r="O285" s="191"/>
    </row>
    <row r="286" spans="13:15" x14ac:dyDescent="0.15">
      <c r="M286" s="191"/>
      <c r="N286" s="191"/>
      <c r="O286" s="191"/>
    </row>
    <row r="287" spans="13:15" x14ac:dyDescent="0.15">
      <c r="M287" s="191"/>
      <c r="N287" s="191"/>
      <c r="O287" s="191"/>
    </row>
    <row r="288" spans="13:15" x14ac:dyDescent="0.15">
      <c r="M288" s="191"/>
      <c r="N288" s="191"/>
      <c r="O288" s="191"/>
    </row>
    <row r="289" spans="13:15" x14ac:dyDescent="0.15">
      <c r="M289" s="191"/>
      <c r="N289" s="191"/>
      <c r="O289" s="191"/>
    </row>
    <row r="290" spans="13:15" x14ac:dyDescent="0.15">
      <c r="M290" s="191"/>
      <c r="N290" s="191"/>
      <c r="O290" s="191"/>
    </row>
    <row r="291" spans="13:15" x14ac:dyDescent="0.15">
      <c r="M291" s="191"/>
      <c r="N291" s="191"/>
      <c r="O291" s="191"/>
    </row>
    <row r="292" spans="13:15" x14ac:dyDescent="0.15">
      <c r="M292" s="191"/>
      <c r="N292" s="191"/>
      <c r="O292" s="191"/>
    </row>
    <row r="293" spans="13:15" x14ac:dyDescent="0.15">
      <c r="M293" s="191"/>
      <c r="N293" s="191"/>
      <c r="O293" s="191"/>
    </row>
    <row r="294" spans="13:15" x14ac:dyDescent="0.15">
      <c r="M294" s="191"/>
      <c r="N294" s="191"/>
      <c r="O294" s="191"/>
    </row>
    <row r="295" spans="13:15" x14ac:dyDescent="0.15">
      <c r="M295" s="191"/>
      <c r="N295" s="191"/>
      <c r="O295" s="191"/>
    </row>
    <row r="296" spans="13:15" x14ac:dyDescent="0.15">
      <c r="M296" s="191"/>
      <c r="N296" s="191"/>
      <c r="O296" s="191"/>
    </row>
    <row r="297" spans="13:15" x14ac:dyDescent="0.15">
      <c r="M297" s="191"/>
      <c r="N297" s="191"/>
      <c r="O297" s="191"/>
    </row>
    <row r="298" spans="13:15" x14ac:dyDescent="0.15">
      <c r="M298" s="191"/>
      <c r="N298" s="191"/>
      <c r="O298" s="191"/>
    </row>
    <row r="299" spans="13:15" x14ac:dyDescent="0.15">
      <c r="M299" s="191"/>
      <c r="N299" s="191"/>
      <c r="O299" s="191"/>
    </row>
    <row r="300" spans="13:15" x14ac:dyDescent="0.15">
      <c r="M300" s="191"/>
      <c r="N300" s="191"/>
      <c r="O300" s="191"/>
    </row>
    <row r="301" spans="13:15" x14ac:dyDescent="0.15">
      <c r="M301" s="191"/>
      <c r="N301" s="191"/>
      <c r="O301" s="191"/>
    </row>
    <row r="302" spans="13:15" x14ac:dyDescent="0.15">
      <c r="M302" s="191"/>
      <c r="N302" s="191"/>
      <c r="O302" s="191"/>
    </row>
    <row r="303" spans="13:15" x14ac:dyDescent="0.15">
      <c r="M303" s="191"/>
      <c r="N303" s="191"/>
      <c r="O303" s="191"/>
    </row>
    <row r="304" spans="13:15" x14ac:dyDescent="0.15">
      <c r="M304" s="191"/>
      <c r="N304" s="191"/>
      <c r="O304" s="191"/>
    </row>
    <row r="305" spans="13:15" x14ac:dyDescent="0.15">
      <c r="M305" s="191"/>
      <c r="N305" s="191"/>
      <c r="O305" s="191"/>
    </row>
    <row r="306" spans="13:15" x14ac:dyDescent="0.15">
      <c r="M306" s="191"/>
      <c r="N306" s="191"/>
      <c r="O306" s="191"/>
    </row>
    <row r="307" spans="13:15" x14ac:dyDescent="0.15">
      <c r="M307" s="191"/>
      <c r="N307" s="191"/>
      <c r="O307" s="191"/>
    </row>
    <row r="308" spans="13:15" x14ac:dyDescent="0.15">
      <c r="M308" s="191"/>
      <c r="N308" s="191"/>
      <c r="O308" s="191"/>
    </row>
    <row r="309" spans="13:15" x14ac:dyDescent="0.15">
      <c r="M309" s="191"/>
      <c r="N309" s="191"/>
      <c r="O309" s="191"/>
    </row>
    <row r="310" spans="13:15" x14ac:dyDescent="0.15">
      <c r="M310" s="191"/>
      <c r="N310" s="191"/>
      <c r="O310" s="191"/>
    </row>
    <row r="311" spans="13:15" x14ac:dyDescent="0.15">
      <c r="M311" s="191"/>
      <c r="N311" s="191"/>
      <c r="O311" s="191"/>
    </row>
    <row r="312" spans="13:15" x14ac:dyDescent="0.15">
      <c r="M312" s="191"/>
      <c r="N312" s="191"/>
      <c r="O312" s="191"/>
    </row>
    <row r="313" spans="13:15" x14ac:dyDescent="0.15">
      <c r="M313" s="191"/>
      <c r="N313" s="191"/>
      <c r="O313" s="191"/>
    </row>
    <row r="314" spans="13:15" x14ac:dyDescent="0.15">
      <c r="M314" s="191"/>
      <c r="N314" s="191"/>
      <c r="O314" s="191"/>
    </row>
    <row r="315" spans="13:15" x14ac:dyDescent="0.15">
      <c r="M315" s="191"/>
      <c r="N315" s="191"/>
      <c r="O315" s="191"/>
    </row>
    <row r="316" spans="13:15" x14ac:dyDescent="0.15">
      <c r="M316" s="191"/>
      <c r="N316" s="191"/>
      <c r="O316" s="191"/>
    </row>
    <row r="317" spans="13:15" x14ac:dyDescent="0.15">
      <c r="M317" s="191"/>
      <c r="N317" s="191"/>
      <c r="O317" s="191"/>
    </row>
    <row r="318" spans="13:15" x14ac:dyDescent="0.15">
      <c r="M318" s="191"/>
      <c r="N318" s="191"/>
      <c r="O318" s="191"/>
    </row>
    <row r="319" spans="13:15" x14ac:dyDescent="0.15">
      <c r="M319" s="191"/>
      <c r="N319" s="191"/>
      <c r="O319" s="191"/>
    </row>
    <row r="320" spans="13:15" x14ac:dyDescent="0.15">
      <c r="M320" s="191"/>
      <c r="N320" s="191"/>
      <c r="O320" s="191"/>
    </row>
    <row r="321" spans="13:15" x14ac:dyDescent="0.15">
      <c r="M321" s="191"/>
      <c r="N321" s="191"/>
      <c r="O321" s="191"/>
    </row>
    <row r="322" spans="13:15" x14ac:dyDescent="0.15">
      <c r="M322" s="191"/>
      <c r="N322" s="191"/>
      <c r="O322" s="191"/>
    </row>
    <row r="323" spans="13:15" x14ac:dyDescent="0.15">
      <c r="M323" s="191"/>
      <c r="N323" s="191"/>
      <c r="O323" s="191"/>
    </row>
    <row r="324" spans="13:15" x14ac:dyDescent="0.15">
      <c r="M324" s="191"/>
      <c r="N324" s="191"/>
      <c r="O324" s="191"/>
    </row>
    <row r="325" spans="13:15" x14ac:dyDescent="0.15">
      <c r="M325" s="191"/>
      <c r="N325" s="191"/>
      <c r="O325" s="191"/>
    </row>
    <row r="326" spans="13:15" x14ac:dyDescent="0.15">
      <c r="M326" s="191"/>
      <c r="N326" s="191"/>
      <c r="O326" s="191"/>
    </row>
    <row r="327" spans="13:15" x14ac:dyDescent="0.15">
      <c r="M327" s="191"/>
      <c r="N327" s="191"/>
      <c r="O327" s="191"/>
    </row>
    <row r="328" spans="13:15" x14ac:dyDescent="0.15">
      <c r="M328" s="191"/>
      <c r="N328" s="191"/>
      <c r="O328" s="191"/>
    </row>
    <row r="329" spans="13:15" x14ac:dyDescent="0.15">
      <c r="M329" s="191"/>
      <c r="N329" s="191"/>
      <c r="O329" s="191"/>
    </row>
    <row r="330" spans="13:15" x14ac:dyDescent="0.15">
      <c r="M330" s="191"/>
      <c r="N330" s="191"/>
      <c r="O330" s="191"/>
    </row>
    <row r="331" spans="13:15" x14ac:dyDescent="0.15">
      <c r="M331" s="191"/>
      <c r="N331" s="191"/>
      <c r="O331" s="191"/>
    </row>
    <row r="332" spans="13:15" x14ac:dyDescent="0.15">
      <c r="M332" s="191"/>
      <c r="N332" s="191"/>
      <c r="O332" s="191"/>
    </row>
    <row r="333" spans="13:15" x14ac:dyDescent="0.15">
      <c r="M333" s="191"/>
      <c r="N333" s="191"/>
      <c r="O333" s="191"/>
    </row>
    <row r="334" spans="13:15" x14ac:dyDescent="0.15">
      <c r="M334" s="191"/>
      <c r="N334" s="191"/>
      <c r="O334" s="191"/>
    </row>
    <row r="335" spans="13:15" x14ac:dyDescent="0.15">
      <c r="M335" s="191"/>
      <c r="N335" s="191"/>
      <c r="O335" s="191"/>
    </row>
    <row r="336" spans="13:15" x14ac:dyDescent="0.15">
      <c r="M336" s="191"/>
      <c r="N336" s="191"/>
      <c r="O336" s="191"/>
    </row>
    <row r="337" spans="13:15" x14ac:dyDescent="0.15">
      <c r="M337" s="191"/>
      <c r="N337" s="191"/>
      <c r="O337" s="191"/>
    </row>
    <row r="338" spans="13:15" x14ac:dyDescent="0.15">
      <c r="M338" s="191"/>
      <c r="N338" s="191"/>
      <c r="O338" s="191"/>
    </row>
    <row r="339" spans="13:15" x14ac:dyDescent="0.15">
      <c r="M339" s="191"/>
      <c r="N339" s="191"/>
      <c r="O339" s="191"/>
    </row>
    <row r="340" spans="13:15" x14ac:dyDescent="0.15">
      <c r="M340" s="191"/>
      <c r="N340" s="191"/>
      <c r="O340" s="191"/>
    </row>
    <row r="341" spans="13:15" x14ac:dyDescent="0.15">
      <c r="M341" s="191"/>
      <c r="N341" s="191"/>
      <c r="O341" s="191"/>
    </row>
    <row r="342" spans="13:15" x14ac:dyDescent="0.15">
      <c r="M342" s="191"/>
      <c r="N342" s="191"/>
      <c r="O342" s="191"/>
    </row>
    <row r="343" spans="13:15" x14ac:dyDescent="0.15">
      <c r="M343" s="191"/>
      <c r="N343" s="191"/>
      <c r="O343" s="191"/>
    </row>
    <row r="344" spans="13:15" x14ac:dyDescent="0.15">
      <c r="M344" s="191"/>
      <c r="N344" s="191"/>
      <c r="O344" s="191"/>
    </row>
    <row r="345" spans="13:15" x14ac:dyDescent="0.15">
      <c r="M345" s="191"/>
      <c r="N345" s="191"/>
      <c r="O345" s="191"/>
    </row>
    <row r="346" spans="13:15" x14ac:dyDescent="0.15">
      <c r="M346" s="191"/>
      <c r="N346" s="191"/>
      <c r="O346" s="191"/>
    </row>
    <row r="347" spans="13:15" x14ac:dyDescent="0.15">
      <c r="M347" s="191"/>
      <c r="N347" s="191"/>
      <c r="O347" s="191"/>
    </row>
    <row r="348" spans="13:15" x14ac:dyDescent="0.15">
      <c r="M348" s="191"/>
      <c r="N348" s="191"/>
      <c r="O348" s="191"/>
    </row>
    <row r="349" spans="13:15" x14ac:dyDescent="0.15">
      <c r="M349" s="191"/>
      <c r="N349" s="191"/>
      <c r="O349" s="191"/>
    </row>
    <row r="350" spans="13:15" x14ac:dyDescent="0.15">
      <c r="M350" s="191"/>
      <c r="N350" s="191"/>
      <c r="O350" s="191"/>
    </row>
    <row r="351" spans="13:15" x14ac:dyDescent="0.15">
      <c r="M351" s="191"/>
      <c r="N351" s="191"/>
      <c r="O351" s="191"/>
    </row>
    <row r="352" spans="13:15" x14ac:dyDescent="0.15">
      <c r="M352" s="191"/>
      <c r="N352" s="191"/>
      <c r="O352" s="191"/>
    </row>
    <row r="353" spans="13:15" x14ac:dyDescent="0.15">
      <c r="M353" s="191"/>
      <c r="N353" s="191"/>
      <c r="O353" s="191"/>
    </row>
    <row r="354" spans="13:15" x14ac:dyDescent="0.15">
      <c r="M354" s="191"/>
      <c r="N354" s="191"/>
      <c r="O354" s="191"/>
    </row>
    <row r="355" spans="13:15" x14ac:dyDescent="0.15">
      <c r="M355" s="191"/>
      <c r="N355" s="191"/>
      <c r="O355" s="191"/>
    </row>
    <row r="356" spans="13:15" x14ac:dyDescent="0.15">
      <c r="M356" s="191"/>
      <c r="N356" s="191"/>
      <c r="O356" s="191"/>
    </row>
    <row r="357" spans="13:15" x14ac:dyDescent="0.15">
      <c r="M357" s="191"/>
      <c r="N357" s="191"/>
      <c r="O357" s="191"/>
    </row>
    <row r="358" spans="13:15" x14ac:dyDescent="0.15">
      <c r="M358" s="191"/>
      <c r="N358" s="191"/>
      <c r="O358" s="191"/>
    </row>
    <row r="359" spans="13:15" x14ac:dyDescent="0.15">
      <c r="M359" s="191"/>
      <c r="N359" s="191"/>
      <c r="O359" s="191"/>
    </row>
    <row r="360" spans="13:15" x14ac:dyDescent="0.15">
      <c r="M360" s="191"/>
      <c r="N360" s="191"/>
      <c r="O360" s="191"/>
    </row>
    <row r="361" spans="13:15" x14ac:dyDescent="0.15">
      <c r="M361" s="191"/>
      <c r="N361" s="191"/>
      <c r="O361" s="191"/>
    </row>
    <row r="362" spans="13:15" x14ac:dyDescent="0.15">
      <c r="M362" s="191"/>
      <c r="N362" s="191"/>
      <c r="O362" s="191"/>
    </row>
    <row r="363" spans="13:15" x14ac:dyDescent="0.15">
      <c r="M363" s="191"/>
      <c r="N363" s="191"/>
      <c r="O363" s="191"/>
    </row>
    <row r="364" spans="13:15" x14ac:dyDescent="0.15">
      <c r="M364" s="191"/>
      <c r="N364" s="191"/>
      <c r="O364" s="191"/>
    </row>
    <row r="365" spans="13:15" x14ac:dyDescent="0.15">
      <c r="M365" s="191"/>
      <c r="N365" s="191"/>
      <c r="O365" s="191"/>
    </row>
    <row r="366" spans="13:15" x14ac:dyDescent="0.15">
      <c r="M366" s="191"/>
      <c r="N366" s="191"/>
      <c r="O366" s="191"/>
    </row>
    <row r="367" spans="13:15" x14ac:dyDescent="0.15">
      <c r="M367" s="191"/>
      <c r="N367" s="191"/>
      <c r="O367" s="191"/>
    </row>
    <row r="368" spans="13:15" x14ac:dyDescent="0.15">
      <c r="M368" s="191"/>
      <c r="N368" s="191"/>
      <c r="O368" s="191"/>
    </row>
    <row r="369" spans="13:15" x14ac:dyDescent="0.15">
      <c r="M369" s="191"/>
      <c r="N369" s="191"/>
      <c r="O369" s="191"/>
    </row>
    <row r="370" spans="13:15" x14ac:dyDescent="0.15">
      <c r="M370" s="191"/>
      <c r="N370" s="191"/>
      <c r="O370" s="191"/>
    </row>
    <row r="371" spans="13:15" x14ac:dyDescent="0.15">
      <c r="M371" s="191"/>
      <c r="N371" s="191"/>
      <c r="O371" s="191"/>
    </row>
    <row r="372" spans="13:15" x14ac:dyDescent="0.15">
      <c r="M372" s="191"/>
      <c r="N372" s="191"/>
      <c r="O372" s="191"/>
    </row>
    <row r="373" spans="13:15" x14ac:dyDescent="0.15">
      <c r="M373" s="191"/>
      <c r="N373" s="191"/>
      <c r="O373" s="191"/>
    </row>
    <row r="374" spans="13:15" x14ac:dyDescent="0.15">
      <c r="M374" s="191"/>
      <c r="N374" s="191"/>
      <c r="O374" s="191"/>
    </row>
    <row r="375" spans="13:15" x14ac:dyDescent="0.15">
      <c r="M375" s="191"/>
      <c r="N375" s="191"/>
      <c r="O375" s="191"/>
    </row>
    <row r="376" spans="13:15" x14ac:dyDescent="0.15">
      <c r="M376" s="191"/>
      <c r="N376" s="191"/>
      <c r="O376" s="191"/>
    </row>
    <row r="377" spans="13:15" x14ac:dyDescent="0.15">
      <c r="M377" s="191"/>
      <c r="N377" s="191"/>
      <c r="O377" s="191"/>
    </row>
    <row r="378" spans="13:15" x14ac:dyDescent="0.15">
      <c r="M378" s="191"/>
      <c r="N378" s="191"/>
      <c r="O378" s="191"/>
    </row>
    <row r="379" spans="13:15" x14ac:dyDescent="0.15">
      <c r="M379" s="191"/>
      <c r="N379" s="191"/>
      <c r="O379" s="191"/>
    </row>
    <row r="380" spans="13:15" x14ac:dyDescent="0.15">
      <c r="M380" s="191"/>
      <c r="N380" s="191"/>
      <c r="O380" s="191"/>
    </row>
    <row r="381" spans="13:15" x14ac:dyDescent="0.15">
      <c r="M381" s="191"/>
      <c r="N381" s="191"/>
      <c r="O381" s="191"/>
    </row>
    <row r="382" spans="13:15" x14ac:dyDescent="0.15">
      <c r="M382" s="191"/>
      <c r="N382" s="191"/>
      <c r="O382" s="191"/>
    </row>
    <row r="383" spans="13:15" x14ac:dyDescent="0.15">
      <c r="M383" s="191"/>
      <c r="N383" s="191"/>
      <c r="O383" s="191"/>
    </row>
    <row r="384" spans="13:15" x14ac:dyDescent="0.15">
      <c r="M384" s="191"/>
      <c r="N384" s="191"/>
      <c r="O384" s="191"/>
    </row>
    <row r="385" spans="12:20" x14ac:dyDescent="0.15">
      <c r="M385" s="191"/>
      <c r="N385" s="191"/>
      <c r="O385" s="191"/>
    </row>
    <row r="386" spans="12:20" x14ac:dyDescent="0.15">
      <c r="M386" s="191"/>
      <c r="N386" s="191"/>
      <c r="O386" s="191"/>
    </row>
    <row r="387" spans="12:20" x14ac:dyDescent="0.15">
      <c r="M387" s="191"/>
      <c r="N387" s="191"/>
      <c r="O387" s="191"/>
    </row>
    <row r="388" spans="12:20" x14ac:dyDescent="0.15">
      <c r="L388" s="191"/>
      <c r="M388" s="191"/>
      <c r="N388" s="191"/>
      <c r="O388" s="191"/>
    </row>
    <row r="389" spans="12:20" x14ac:dyDescent="0.15">
      <c r="O389" s="191"/>
    </row>
    <row r="390" spans="12:20" x14ac:dyDescent="0.15">
      <c r="P390" s="194"/>
    </row>
    <row r="392" spans="12:20" x14ac:dyDescent="0.15">
      <c r="Q392" s="194"/>
      <c r="R392" s="194"/>
      <c r="S392" s="194"/>
      <c r="T392" s="194"/>
    </row>
  </sheetData>
  <sheetProtection algorithmName="SHA-512" hashValue="8CW4yWyVrBJ4mipiC4kvaOLqxQFXFOoltZHFcX0+UVFHcd0xBHPc5RpjAB9CXe+6NSv+XUarFMsC/zBQZKjG8A==" saltValue="MmRPc8AwVdlHc79Aaq5SYA==" spinCount="100000" sheet="1" objects="1" scenarios="1" selectLockedCells="1"/>
  <mergeCells count="2">
    <mergeCell ref="C27:E27"/>
    <mergeCell ref="C28:E28"/>
  </mergeCells>
  <conditionalFormatting sqref="B28:E28">
    <cfRule type="expression" dxfId="7" priority="17">
      <formula>AND($C$27&lt;&gt;$Q$10,$C$27&lt;&gt;$Q$11)</formula>
    </cfRule>
  </conditionalFormatting>
  <conditionalFormatting sqref="B34:E34">
    <cfRule type="expression" dxfId="6" priority="3">
      <formula>AND($F$11&lt;&gt;"Amortissable différé partiel",$F$11&lt;&gt;"Amortissable différé total")</formula>
    </cfRule>
  </conditionalFormatting>
  <conditionalFormatting sqref="B37:F37">
    <cfRule type="expression" dxfId="5" priority="1">
      <formula>$F$11="Amortissable sans différé"</formula>
    </cfRule>
  </conditionalFormatting>
  <conditionalFormatting sqref="B38:F38">
    <cfRule type="expression" dxfId="4" priority="2">
      <formula>$F$11="In fine"</formula>
    </cfRule>
  </conditionalFormatting>
  <conditionalFormatting sqref="E12:F12">
    <cfRule type="expression" dxfId="3" priority="9">
      <formula>OR($F$11="Amortissable sans différé",$F$11="In fine")</formula>
    </cfRule>
  </conditionalFormatting>
  <dataValidations count="3">
    <dataValidation type="list" allowBlank="1" showInputMessage="1" showErrorMessage="1" sqref="F11" xr:uid="{4173E452-9BE0-664F-ADC5-70C6E393F5D1}">
      <formula1>"Amortissable sans différé,Amortissable différé partiel,Amortissable différé total,In fine"</formula1>
    </dataValidation>
    <dataValidation type="whole" allowBlank="1" showInputMessage="1" showErrorMessage="1" errorTitle="Erreur" error="La durée de détention ne peut excéder 30 ans" sqref="F24" xr:uid="{4425C82D-4A39-8E42-9CAE-D4D07C11A21C}">
      <formula1>0</formula1>
      <formula2>30</formula2>
    </dataValidation>
    <dataValidation type="list" allowBlank="1" showInputMessage="1" showErrorMessage="1" sqref="C27" xr:uid="{00000000-0002-0000-0300-000002000000}">
      <formula1>$Q$5:$Q$14</formula1>
    </dataValidation>
  </dataValidations>
  <pageMargins left="0.7" right="0.7" top="0.75" bottom="0.75" header="0.3" footer="0.3"/>
  <pageSetup paperSize="9" scale="88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2">
    <tabColor theme="4" tint="-0.499984740745262"/>
  </sheetPr>
  <dimension ref="B1:L22"/>
  <sheetViews>
    <sheetView showGridLines="0" zoomScaleNormal="100" workbookViewId="0">
      <selection activeCell="K12" sqref="K12"/>
    </sheetView>
  </sheetViews>
  <sheetFormatPr baseColWidth="10" defaultColWidth="11.5" defaultRowHeight="13" x14ac:dyDescent="0.15"/>
  <cols>
    <col min="1" max="1" width="5" style="5" customWidth="1"/>
    <col min="2" max="2" width="28.6640625" style="5" customWidth="1"/>
    <col min="3" max="3" width="12" style="5" customWidth="1"/>
    <col min="4" max="4" width="13.5" style="5" customWidth="1"/>
    <col min="5" max="5" width="14.1640625" style="5" customWidth="1"/>
    <col min="6" max="6" width="13.6640625" style="5" customWidth="1"/>
    <col min="7" max="8" width="11.5" style="5"/>
    <col min="9" max="9" width="12.33203125" style="5" bestFit="1" customWidth="1"/>
    <col min="10" max="16384" width="11.5" style="5"/>
  </cols>
  <sheetData>
    <row r="1" spans="2:12" s="1" customFormat="1" ht="14" x14ac:dyDescent="0.15">
      <c r="L1" s="2"/>
    </row>
    <row r="2" spans="2:12" s="1" customFormat="1" ht="14" x14ac:dyDescent="0.15">
      <c r="C2" s="49" t="str">
        <f>Emprunteur!C2</f>
        <v>v3.3</v>
      </c>
      <c r="L2" s="2"/>
    </row>
    <row r="3" spans="2:12" s="1" customFormat="1" ht="14" x14ac:dyDescent="0.15">
      <c r="C3" s="48"/>
      <c r="L3" s="2"/>
    </row>
    <row r="4" spans="2:12" s="1" customFormat="1" ht="14" x14ac:dyDescent="0.15">
      <c r="L4" s="2"/>
    </row>
    <row r="5" spans="2:12" ht="16" x14ac:dyDescent="0.2">
      <c r="B5" s="164" t="s">
        <v>156</v>
      </c>
      <c r="C5" s="51"/>
      <c r="D5" s="51"/>
      <c r="E5" s="51"/>
      <c r="F5" s="51"/>
    </row>
    <row r="7" spans="2:12" ht="37" customHeight="1" x14ac:dyDescent="0.15">
      <c r="B7" s="172" t="str">
        <f>"Régime fiscal / Impôts sur "&amp;Simulation!F24&amp;" ans"</f>
        <v>Régime fiscal / Impôts sur 12 ans</v>
      </c>
      <c r="C7" s="173"/>
      <c r="D7" s="56" t="s">
        <v>157</v>
      </c>
      <c r="E7" s="65" t="s">
        <v>152</v>
      </c>
      <c r="F7" s="56" t="s">
        <v>158</v>
      </c>
    </row>
    <row r="8" spans="2:12" x14ac:dyDescent="0.15">
      <c r="B8" s="174" t="str">
        <f>Simulation!Q5</f>
        <v>LMNP BIC réel</v>
      </c>
      <c r="C8" s="175"/>
      <c r="D8" s="53">
        <f>SUM('Détail fiscalité'!AC8:AC37)</f>
        <v>0</v>
      </c>
      <c r="E8" s="53">
        <f>MAX((Simulation!F22-(Simulation!C7+MAX(Simulation!C7*7.5%,Simulation!C12+Simulation!C10)+MAX(Simulation!C8,Simulation!C7*15%*(Simulation!F24&gt;=5))))*(Paramètres!E10*(1-VLOOKUP(MIN(Simulation!$F$24,30),Paramètres!$G$4:$I$33,2,FALSE))+Paramètres!E9*(1-VLOOKUP(MIN(Simulation!$F$24,30),Paramètres!$G$4:$I$33,3,FALSE))),0)</f>
        <v>1157.6772543422198</v>
      </c>
      <c r="F8" s="53">
        <f>SUM(D8:E8)</f>
        <v>1157.6772543422198</v>
      </c>
    </row>
    <row r="9" spans="2:12" x14ac:dyDescent="0.15">
      <c r="B9" s="176" t="str">
        <f>Simulation!Q6</f>
        <v>LMNP micro-BIC</v>
      </c>
      <c r="C9" s="177"/>
      <c r="D9" s="54">
        <f>SUM('Détail fiscalité'!AH8:AH37)</f>
        <v>44287.300522083839</v>
      </c>
      <c r="E9" s="54">
        <f>E8</f>
        <v>1157.6772543422198</v>
      </c>
      <c r="F9" s="54">
        <f>SUM(D9:E9)</f>
        <v>45444.977776426058</v>
      </c>
    </row>
    <row r="10" spans="2:12" x14ac:dyDescent="0.15">
      <c r="B10" s="176" t="str">
        <f>Simulation!Q7</f>
        <v>LMNP Bouvard</v>
      </c>
      <c r="C10" s="177"/>
      <c r="D10" s="54">
        <f>SUM('Détail fiscalité'!AM8:AM37)</f>
        <v>31087.300522083831</v>
      </c>
      <c r="E10" s="54">
        <f>E9</f>
        <v>1157.6772543422198</v>
      </c>
      <c r="F10" s="54">
        <f t="shared" ref="F10" si="0">SUM(D10:E10)</f>
        <v>32244.977776426051</v>
      </c>
    </row>
    <row r="11" spans="2:12" x14ac:dyDescent="0.15">
      <c r="B11" s="176" t="str">
        <f>Simulation!Q8</f>
        <v>Nu foncier réel</v>
      </c>
      <c r="C11" s="177"/>
      <c r="D11" s="54">
        <f>SUM('Détail fiscalité'!AV8:AV37)</f>
        <v>26334.327059155919</v>
      </c>
      <c r="E11" s="54">
        <f>MAX((Simulation!F22-(Simulation!C7+MAX(Simulation!C7*7.5%,Simulation!C12+Simulation!C10)+MAX(Simulation!C8,Simulation!C7*15%*(Simulation!F24&gt;=5))))*(Paramètres!E10*(1-VLOOKUP(MIN(Simulation!$F$24,30),Paramètres!$G$4:$I$33,2,FALSE))+Paramètres!E9*(1-VLOOKUP(MIN(Simulation!$F$24,30),Paramètres!$G$4:$I$33,3,FALSE))),0)</f>
        <v>1157.6772543422198</v>
      </c>
      <c r="F11" s="54">
        <f>SUM(D11:E11)</f>
        <v>27492.004313498139</v>
      </c>
      <c r="H11" s="45"/>
    </row>
    <row r="12" spans="2:12" x14ac:dyDescent="0.15">
      <c r="B12" s="176" t="str">
        <f>Simulation!Q9</f>
        <v>Nu micro-foncier</v>
      </c>
      <c r="C12" s="177"/>
      <c r="D12" s="54">
        <f>SUM('Détail fiscalité'!BA8:BA37)</f>
        <v>62002.220730917332</v>
      </c>
      <c r="E12" s="54">
        <f>E11</f>
        <v>1157.6772543422198</v>
      </c>
      <c r="F12" s="54">
        <f>SUM(D12:E12)</f>
        <v>63159.897985259551</v>
      </c>
      <c r="H12" s="45"/>
    </row>
    <row r="13" spans="2:12" x14ac:dyDescent="0.15">
      <c r="B13" s="176" t="str">
        <f>Simulation!Q10</f>
        <v>Pinel foncier réel</v>
      </c>
      <c r="C13" s="177"/>
      <c r="D13" s="54">
        <f>SUM('Détail fiscalité'!BJ8:BJ37)</f>
        <v>14984.527059155895</v>
      </c>
      <c r="E13" s="54">
        <f>E12</f>
        <v>1157.6772543422198</v>
      </c>
      <c r="F13" s="54">
        <f t="shared" ref="F13:F17" si="1">SUM(D13:E13)</f>
        <v>16142.204313498114</v>
      </c>
      <c r="H13" s="45"/>
    </row>
    <row r="14" spans="2:12" x14ac:dyDescent="0.15">
      <c r="B14" s="176" t="str">
        <f>Simulation!Q11</f>
        <v>Pinel micro-foncier</v>
      </c>
      <c r="C14" s="177"/>
      <c r="D14" s="54">
        <f>SUM('Détail fiscalité'!BO8:BO37)</f>
        <v>31657.220730917335</v>
      </c>
      <c r="E14" s="54">
        <f>E13</f>
        <v>1157.6772543422198</v>
      </c>
      <c r="F14" s="54">
        <f t="shared" si="1"/>
        <v>32814.897985259558</v>
      </c>
      <c r="H14" s="101"/>
    </row>
    <row r="15" spans="2:12" x14ac:dyDescent="0.15">
      <c r="B15" s="176" t="str">
        <f>Simulation!Q12</f>
        <v>LMP</v>
      </c>
      <c r="C15" s="177"/>
      <c r="D15" s="54">
        <f>SUM('Détail fiscalité'!BX8:BX37)</f>
        <v>-1321.6291589671746</v>
      </c>
      <c r="E15" s="54">
        <f>SUM('Détail fiscalité'!I8:N37)*Paramètres!E12/(1+Paramètres!E12)+((SUM('Détail fiscalité'!I8:N37)-SUM('Détail fiscalité'!I8:N37)*Paramètres!E12/(1+Paramètres!E12))*Paramètres!E18+MAX(Simulation!F22-(Simulation!C13-Simulation!C9),0)*Paramètres!E18)*(Simulation!F24&lt;5)</f>
        <v>24101.71428571429</v>
      </c>
      <c r="F15" s="54">
        <f t="shared" ref="F15" si="2">SUM(D15:E15)</f>
        <v>22780.085126747115</v>
      </c>
      <c r="H15" s="101"/>
    </row>
    <row r="16" spans="2:12" x14ac:dyDescent="0.15">
      <c r="B16" s="176" t="str">
        <f>Simulation!Q13</f>
        <v>SCI/SARL/SAS IS (sans distribution dividendes)</v>
      </c>
      <c r="C16" s="177"/>
      <c r="D16" s="54">
        <f>SUM('Détail fiscalité'!CB8:CB37)</f>
        <v>0</v>
      </c>
      <c r="E16" s="54">
        <f>SUM('Détail fiscalité'!CA8:CA37)-SUM('Détail fiscalité'!CB8:CB37)</f>
        <v>16262.693769958754</v>
      </c>
      <c r="F16" s="54">
        <f t="shared" si="1"/>
        <v>16262.693769958754</v>
      </c>
    </row>
    <row r="17" spans="2:10" x14ac:dyDescent="0.15">
      <c r="B17" s="178" t="str">
        <f>Simulation!Q14</f>
        <v>SCI/SARL/SAS IS (distribution dividendes)</v>
      </c>
      <c r="C17" s="179"/>
      <c r="D17" s="55">
        <f>SUM('Détail fiscalité'!CH8:CH37)</f>
        <v>0</v>
      </c>
      <c r="E17" s="55">
        <f>SUM('Détail fiscalité'!CG8:CG37)</f>
        <v>24089.632523950506</v>
      </c>
      <c r="F17" s="55">
        <f t="shared" si="1"/>
        <v>24089.632523950506</v>
      </c>
    </row>
    <row r="19" spans="2:10" x14ac:dyDescent="0.15">
      <c r="I19" s="46"/>
      <c r="J19" s="45"/>
    </row>
    <row r="20" spans="2:10" x14ac:dyDescent="0.15">
      <c r="I20" s="47"/>
      <c r="J20" s="42"/>
    </row>
    <row r="22" spans="2:10" x14ac:dyDescent="0.15">
      <c r="I22" s="47"/>
      <c r="J22" s="42"/>
    </row>
  </sheetData>
  <sheetProtection algorithmName="SHA-512" hashValue="81x/EqR3/tTF0PCjpzR31XXzaLME+AH+A/C822M5ePBcodJBBrpBB00hBozUR7FJMCEFDgMQXpUxU789CV97WQ==" saltValue="5ivIIWTyB6agvJG1dxnuJw==" spinCount="100000" sheet="1" objects="1" scenarios="1" selectLockedCells="1"/>
  <mergeCells count="11">
    <mergeCell ref="B7:C7"/>
    <mergeCell ref="B8:C8"/>
    <mergeCell ref="B13:C13"/>
    <mergeCell ref="B14:C14"/>
    <mergeCell ref="B17:C17"/>
    <mergeCell ref="B9:C9"/>
    <mergeCell ref="B11:C11"/>
    <mergeCell ref="B12:C12"/>
    <mergeCell ref="B16:C16"/>
    <mergeCell ref="B10:C10"/>
    <mergeCell ref="B15:C15"/>
  </mergeCells>
  <conditionalFormatting sqref="D8:D17">
    <cfRule type="top10" dxfId="2" priority="12" percent="1" bottom="1" rank="1"/>
  </conditionalFormatting>
  <conditionalFormatting sqref="E8:E17">
    <cfRule type="top10" dxfId="1" priority="14" percent="1" bottom="1" rank="1"/>
  </conditionalFormatting>
  <conditionalFormatting sqref="F8:F17">
    <cfRule type="top10" dxfId="0" priority="16" percent="1" bottom="1" rank="1"/>
  </conditionalFormatting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4">
    <tabColor theme="4" tint="-0.499984740745262"/>
  </sheetPr>
  <dimension ref="B1:AE368"/>
  <sheetViews>
    <sheetView showGridLines="0" zoomScaleNormal="100" workbookViewId="0">
      <selection activeCell="L22" sqref="L22"/>
    </sheetView>
  </sheetViews>
  <sheetFormatPr baseColWidth="10" defaultColWidth="11.5" defaultRowHeight="13" x14ac:dyDescent="0.15"/>
  <cols>
    <col min="1" max="1" width="5" style="5" customWidth="1"/>
    <col min="2" max="2" width="12.33203125" style="5" customWidth="1"/>
    <col min="3" max="3" width="16.5" style="5" customWidth="1"/>
    <col min="4" max="4" width="14.1640625" style="5" customWidth="1"/>
    <col min="5" max="8" width="11.5" style="5"/>
    <col min="9" max="9" width="14" style="5" customWidth="1"/>
    <col min="10" max="10" width="17.6640625" style="5" customWidth="1"/>
    <col min="11" max="11" width="13.6640625" style="5" customWidth="1"/>
    <col min="12" max="15" width="11.5" style="5"/>
    <col min="16" max="16" width="5.5" style="5" customWidth="1"/>
    <col min="17" max="17" width="11.5" style="5"/>
    <col min="18" max="18" width="15.1640625" style="5" customWidth="1"/>
    <col min="19" max="19" width="14.6640625" style="5" customWidth="1"/>
    <col min="20" max="21" width="11.5" style="5"/>
    <col min="22" max="22" width="14" style="5" customWidth="1"/>
    <col min="23" max="23" width="14.1640625" style="5" customWidth="1"/>
    <col min="24" max="24" width="13.83203125" style="5" customWidth="1"/>
    <col min="25" max="25" width="15.5" style="5" customWidth="1"/>
    <col min="26" max="26" width="14.5" style="5" customWidth="1"/>
    <col min="27" max="27" width="12.33203125" style="5" customWidth="1"/>
    <col min="28" max="28" width="13" style="5" customWidth="1"/>
    <col min="29" max="29" width="12.5" style="5" customWidth="1"/>
    <col min="30" max="30" width="15.5" style="5" customWidth="1"/>
    <col min="31" max="16384" width="11.5" style="5"/>
  </cols>
  <sheetData>
    <row r="1" spans="2:31" s="1" customFormat="1" ht="14" x14ac:dyDescent="0.15">
      <c r="L1" s="2"/>
      <c r="M1" s="2"/>
      <c r="N1" s="2"/>
      <c r="O1" s="2"/>
    </row>
    <row r="2" spans="2:31" s="1" customFormat="1" ht="14" x14ac:dyDescent="0.15">
      <c r="D2" s="49" t="str">
        <f>Emprunteur!C2</f>
        <v>v3.3</v>
      </c>
      <c r="G2" s="102"/>
      <c r="L2" s="2"/>
      <c r="M2" s="2"/>
      <c r="N2" s="2"/>
      <c r="O2" s="2"/>
      <c r="P2" s="2"/>
    </row>
    <row r="3" spans="2:31" s="1" customFormat="1" ht="14" x14ac:dyDescent="0.15">
      <c r="C3" s="48"/>
      <c r="L3" s="2"/>
      <c r="M3" s="2"/>
      <c r="N3" s="2"/>
      <c r="P3" s="2"/>
    </row>
    <row r="4" spans="2:31" s="1" customFormat="1" ht="14" x14ac:dyDescent="0.15">
      <c r="L4" s="2"/>
      <c r="M4" s="2"/>
      <c r="N4" s="2"/>
      <c r="O4" s="2"/>
      <c r="P4" s="2"/>
      <c r="AC4" s="2"/>
      <c r="AD4" s="2"/>
    </row>
    <row r="5" spans="2:31" x14ac:dyDescent="0.15">
      <c r="C5" s="181" t="s">
        <v>126</v>
      </c>
      <c r="D5" s="182"/>
      <c r="E5" s="182"/>
      <c r="F5" s="182"/>
      <c r="G5" s="183"/>
      <c r="H5" s="184" t="s">
        <v>159</v>
      </c>
      <c r="I5" s="184"/>
      <c r="J5" s="184"/>
      <c r="K5" s="184"/>
      <c r="L5" s="184"/>
      <c r="M5" s="184"/>
      <c r="N5" s="181"/>
      <c r="O5" s="180" t="s">
        <v>123</v>
      </c>
      <c r="R5" s="181" t="s">
        <v>126</v>
      </c>
      <c r="S5" s="182"/>
      <c r="T5" s="182"/>
      <c r="U5" s="182"/>
      <c r="V5" s="183"/>
      <c r="W5" s="184" t="s">
        <v>159</v>
      </c>
      <c r="X5" s="184"/>
      <c r="Y5" s="184"/>
      <c r="Z5" s="184"/>
      <c r="AA5" s="184"/>
      <c r="AB5" s="184"/>
      <c r="AC5" s="181"/>
      <c r="AD5" s="180" t="s">
        <v>123</v>
      </c>
    </row>
    <row r="6" spans="2:31" ht="42" x14ac:dyDescent="0.15">
      <c r="B6" s="36" t="s">
        <v>131</v>
      </c>
      <c r="C6" s="37" t="s">
        <v>160</v>
      </c>
      <c r="D6" s="38" t="s">
        <v>132</v>
      </c>
      <c r="E6" s="38" t="s">
        <v>161</v>
      </c>
      <c r="F6" s="38" t="s">
        <v>162</v>
      </c>
      <c r="G6" s="39" t="s">
        <v>163</v>
      </c>
      <c r="H6" s="37" t="s">
        <v>100</v>
      </c>
      <c r="I6" s="38" t="s">
        <v>164</v>
      </c>
      <c r="J6" s="38" t="s">
        <v>165</v>
      </c>
      <c r="K6" s="38" t="s">
        <v>166</v>
      </c>
      <c r="L6" s="38" t="s">
        <v>106</v>
      </c>
      <c r="M6" s="38" t="s">
        <v>167</v>
      </c>
      <c r="N6" s="38" t="s">
        <v>168</v>
      </c>
      <c r="O6" s="180"/>
      <c r="Q6" s="36" t="s">
        <v>8</v>
      </c>
      <c r="R6" s="37" t="s">
        <v>160</v>
      </c>
      <c r="S6" s="38" t="s">
        <v>132</v>
      </c>
      <c r="T6" s="38" t="s">
        <v>161</v>
      </c>
      <c r="U6" s="38" t="s">
        <v>162</v>
      </c>
      <c r="V6" s="39" t="s">
        <v>163</v>
      </c>
      <c r="W6" s="37" t="s">
        <v>100</v>
      </c>
      <c r="X6" s="38" t="s">
        <v>169</v>
      </c>
      <c r="Y6" s="38" t="s">
        <v>165</v>
      </c>
      <c r="Z6" s="38" t="s">
        <v>166</v>
      </c>
      <c r="AA6" s="38" t="s">
        <v>106</v>
      </c>
      <c r="AB6" s="38" t="s">
        <v>167</v>
      </c>
      <c r="AC6" s="38" t="s">
        <v>168</v>
      </c>
      <c r="AD6" s="180"/>
    </row>
    <row r="7" spans="2:31" x14ac:dyDescent="0.15">
      <c r="B7" s="40">
        <v>0</v>
      </c>
      <c r="C7" s="113">
        <f>IF(B7&lt;=MIN(Simulation!$F$10*12+Simulation!$F$12*OR(Simulation!$F$11="Amortissable différé partiel",Simulation!$F$11="Amortissable différé total"),Simulation!$F$24*12),Simulation!$E$33,0)</f>
        <v>178400</v>
      </c>
      <c r="D7" s="130"/>
      <c r="E7" s="130"/>
      <c r="F7" s="130"/>
      <c r="G7" s="131"/>
      <c r="H7" s="132"/>
      <c r="I7" s="130"/>
      <c r="J7" s="130"/>
      <c r="K7" s="130"/>
      <c r="L7" s="130"/>
      <c r="M7" s="130"/>
      <c r="N7" s="130"/>
      <c r="O7" s="133">
        <f>-Simulation!F7</f>
        <v>0</v>
      </c>
      <c r="Q7" s="41">
        <v>0</v>
      </c>
      <c r="R7" s="121">
        <f>C7</f>
        <v>178400</v>
      </c>
      <c r="S7" s="122"/>
      <c r="T7" s="122"/>
      <c r="U7" s="122"/>
      <c r="V7" s="123"/>
      <c r="W7" s="124"/>
      <c r="X7" s="122"/>
      <c r="Y7" s="122"/>
      <c r="Z7" s="122"/>
      <c r="AA7" s="122"/>
      <c r="AB7" s="122"/>
      <c r="AC7" s="122"/>
      <c r="AD7" s="125">
        <f>O7</f>
        <v>0</v>
      </c>
    </row>
    <row r="8" spans="2:31" x14ac:dyDescent="0.15">
      <c r="B8" s="40">
        <f t="shared" ref="B8:B71" si="0">B7+1</f>
        <v>1</v>
      </c>
      <c r="C8" s="113">
        <f>IF(B8&lt;=MIN(Simulation!$F$10*12+Simulation!$F$12*OR(Simulation!$F$11="Amortissable différé partiel",Simulation!$F$11="Amortissable différé total"),Simulation!$F$24*12),IF(AND(B8&lt;=Simulation!$F$12,OR(Simulation!$F$11="Amortissable différé partiel",Simulation!$F$11="Amortissable différé total")),C7*(1+(Simulation!$F$11="Amortissable différé total")*Simulation!$F$8/12),C7-D8),0)</f>
        <v>177762.13899055461</v>
      </c>
      <c r="D8" s="114">
        <f>IF(B8&lt;=MIN(Simulation!$F$10*12+Simulation!$F$12*OR(Simulation!$F$11="Amortissable différé partiel",Simulation!$F$11="Amortissable différé total"),Simulation!$F$24*12),G8-E8,0)</f>
        <v>637.8610094454034</v>
      </c>
      <c r="E8" s="114">
        <f>IF(B8&lt;=MIN(Simulation!$F$10*12+Simulation!$F$12*OR(Simulation!$F$11="Amortissable différé partiel",Simulation!$F$11="Amortissable différé total"),Simulation!$F$24*12),IF(AND(B8&lt;=Simulation!$F$12,Simulation!$F$11="Amortissable différé total"),0,C7*Simulation!$F$8/12),0)</f>
        <v>223</v>
      </c>
      <c r="F8" s="114">
        <f>IF(B8&lt;=MIN(Simulation!$F$10*12+Simulation!$F$12*OR(Simulation!$F$11="Amortissable différé partiel",Simulation!$F$11="Amortissable différé total"),Simulation!$F$24*12),Simulation!$E$33*Simulation!$F$9/12,0)</f>
        <v>29.733333333333334</v>
      </c>
      <c r="G8" s="115">
        <f>IF(B8&lt;=MIN(Simulation!$F$10*12+Simulation!$F$12*OR(Simulation!$F$11="Amortissable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partiel",IF(B8&lt;=Simulation!$F$12,Simulation!$E$33*Simulation!$F$8/12,PMT(Simulation!$F$8/12,Simulation!$F$10*12,-Simulation!$E$34)),IF(Simulation!$F$11="Amortissable différé total",IF(B8&lt;=Simulation!$F$12,0,PMT(Simulation!$F$8/12,Simulation!$F$10*12,-Simulation!$E$34)),IF(Simulation!$F$11="In fine",IF(B8=Simulation!$F$10*12,Simulation!$E$34,Simulation!$F$8*Simulation!$E$34/12),0)))),0)</f>
        <v>860.8610094454034</v>
      </c>
      <c r="H8" s="113">
        <f>Simulation!$C$16/12*(1+Simulation!$F$15)^INT((B8-1)/12)*(B8&lt;=Simulation!$F$24*12)</f>
        <v>1000</v>
      </c>
      <c r="I8" s="114">
        <f>(Simulation!$F$22-VLOOKUP(Simulation!$C$27,'Comparatif fiscal'!$B$8:$E$17,4,FALSE)-C8)*(B8=Simulation!$F$24*12)</f>
        <v>0</v>
      </c>
      <c r="J8" s="114">
        <f>(Simulation!$C$21+Simulation!$C$22)/12*(1+Simulation!$F$17)^INT((B8-1)/12)*(B8&lt;=Simulation!$F$24*12)</f>
        <v>125</v>
      </c>
      <c r="K8" s="114">
        <f>(H8*Simulation!$C$24+Simulation!$C$23/12*(1+Simulation!$F$15)^INT((B8-1)/12))*(B8&lt;=Simulation!$F$24*12)</f>
        <v>103.33333333333334</v>
      </c>
      <c r="L8" s="114">
        <f>Simulation!$C$19/12*(1+Simulation!$F$18)^INT((B8-1)/12)*(B8&lt;=Simulation!$F$24*12)</f>
        <v>50</v>
      </c>
      <c r="M8" s="114">
        <f>(Simulation!$C$20/12*(1+Simulation!$F$19)^INT((B8-1)/12)+F8)*(B8&lt;=Simulation!$F$24*12)</f>
        <v>38.06666666666667</v>
      </c>
      <c r="N8" s="114">
        <f>SUMIF('Détail fiscalité'!$B$8:$B$37,INT(B8/12),'Détail fiscalité'!$CI$8:$CI$37)/12+SUMIF('Détail fiscalité'!$B$8:$B$37,B8/12,'Détail fiscalité'!$CI$8:$CI$37)-SUMIF('Détail fiscalité'!$B$8:$B$37,B8/12-1,'Détail fiscalité'!$CI$8:$CI$37)</f>
        <v>0</v>
      </c>
      <c r="O8" s="116">
        <f>SUM(H8:I8)-SUM(G8,J8:N8)</f>
        <v>-177.26100944540326</v>
      </c>
      <c r="Q8" s="40">
        <f t="shared" ref="Q8:Q37" si="1">Q7+1</f>
        <v>1</v>
      </c>
      <c r="R8" s="126">
        <f>SUMPRODUCT(C$7:C$367*($B$7:$B$367=$Q8*12))</f>
        <v>170692.82447073673</v>
      </c>
      <c r="S8" s="108">
        <f t="shared" ref="S8:AB8" si="2">SUMPRODUCT(D$7:D$367*($B$7:$B$367&gt;$Q7*12)*($B$7:$B$367&lt;=$Q8*12))</f>
        <v>7707.1755292632779</v>
      </c>
      <c r="T8" s="108">
        <f t="shared" si="2"/>
        <v>2623.1565840815624</v>
      </c>
      <c r="U8" s="108">
        <f t="shared" si="2"/>
        <v>356.80000000000013</v>
      </c>
      <c r="V8" s="54">
        <f t="shared" si="2"/>
        <v>10330.332113344841</v>
      </c>
      <c r="W8" s="126">
        <f t="shared" si="2"/>
        <v>12000</v>
      </c>
      <c r="X8" s="108">
        <f t="shared" si="2"/>
        <v>0</v>
      </c>
      <c r="Y8" s="108">
        <f t="shared" si="2"/>
        <v>1500</v>
      </c>
      <c r="Z8" s="108">
        <f t="shared" si="2"/>
        <v>1240</v>
      </c>
      <c r="AA8" s="108">
        <f t="shared" si="2"/>
        <v>600</v>
      </c>
      <c r="AB8" s="108">
        <f t="shared" si="2"/>
        <v>456.8</v>
      </c>
      <c r="AC8" s="108">
        <f t="shared" ref="AC8:AC37" ca="1" si="3">SUMPRODUCT(N$7:N$367*($B$7:$B$367&gt;$Q7*12)*($B$7:$B$367&lt;=$Q8*12))</f>
        <v>0</v>
      </c>
      <c r="AD8" s="127">
        <f t="shared" ref="AD8:AD37" ca="1" si="4">SUMPRODUCT(O$7:O$367*($B$7:$B$367&gt;$Q7*12)*($B$7:$B$367&lt;=$Q8*12))</f>
        <v>-2127.1321133448391</v>
      </c>
      <c r="AE8" s="42"/>
    </row>
    <row r="9" spans="2:31" x14ac:dyDescent="0.15">
      <c r="B9" s="40">
        <f t="shared" si="0"/>
        <v>2</v>
      </c>
      <c r="C9" s="113">
        <f>IF(B9&lt;=MIN(Simulation!$F$10*12+Simulation!$F$12*OR(Simulation!$F$11="Amortissable différé partiel",Simulation!$F$11="Amortissable différé total"),Simulation!$F$24*12),IF(AND(B9&lt;=Simulation!$F$12,OR(Simulation!$F$11="Amortissable différé partiel",Simulation!$F$11="Amortissable différé total")),C8*(1+(Simulation!$F$11="Amortissable différé total")*Simulation!$F$8/12),C8-D9),0)</f>
        <v>177123.4806548474</v>
      </c>
      <c r="D9" s="114">
        <f>IF(B9&lt;=MIN(Simulation!$F$10*12+Simulation!$F$12*OR(Simulation!$F$11="Amortissable différé partiel",Simulation!$F$11="Amortissable différé total"),Simulation!$F$24*12),G9-E9,0)</f>
        <v>638.6583357072102</v>
      </c>
      <c r="E9" s="114">
        <f>IF(B9&lt;=MIN(Simulation!$F$10*12+Simulation!$F$12*OR(Simulation!$F$11="Amortissable différé partiel",Simulation!$F$11="Amortissable différé total"),Simulation!$F$24*12),IF(AND(B9&lt;=Simulation!$F$12,Simulation!$F$11="Amortissable différé total"),0,C8*Simulation!$F$8/12),0)</f>
        <v>222.20267373819323</v>
      </c>
      <c r="F9" s="114">
        <f>IF(B9&lt;=MIN(Simulation!$F$10*12+Simulation!$F$12*OR(Simulation!$F$11="Amortissable différé partiel",Simulation!$F$11="Amortissable différé total"),Simulation!$F$24*12),Simulation!$E$33*Simulation!$F$9/12,0)</f>
        <v>29.733333333333334</v>
      </c>
      <c r="G9" s="115">
        <f>IF(B9&lt;=MIN(Simulation!$F$10*12+Simulation!$F$12*OR(Simulation!$F$11="Amortissable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partiel",IF(B9&lt;=Simulation!$F$12,Simulation!$E$33*Simulation!$F$8/12,PMT(Simulation!$F$8/12,Simulation!$F$10*12,-Simulation!$E$34)),IF(Simulation!$F$11="Amortissable différé total",IF(B9&lt;=Simulation!$F$12,0,PMT(Simulation!$F$8/12,Simulation!$F$10*12,-Simulation!$E$34)),IF(Simulation!$F$11="In fine",IF(B9=Simulation!$F$10*12,Simulation!$E$34,Simulation!$F$8*Simulation!$E$34/12),0)))),0)</f>
        <v>860.8610094454034</v>
      </c>
      <c r="H9" s="113">
        <f>Simulation!$C$16/12*(1+Simulation!$F$15)^INT((B9-1)/12)*(B9&lt;=Simulation!$F$24*12)</f>
        <v>1000</v>
      </c>
      <c r="I9" s="114">
        <f>(Simulation!$F$22-VLOOKUP(Simulation!$C$27,'Comparatif fiscal'!$B$8:$E$17,4,FALSE)-C9)*(B9=Simulation!$F$24*12)</f>
        <v>0</v>
      </c>
      <c r="J9" s="114">
        <f>(Simulation!$C$21+Simulation!$C$22)/12*(1+Simulation!$F$17)^INT((B9-1)/12)*(B9&lt;=Simulation!$F$24*12)</f>
        <v>125</v>
      </c>
      <c r="K9" s="114">
        <f>(H9*Simulation!$C$24+Simulation!$C$23/12*(1+Simulation!$F$15)^INT((B9-1)/12))*(B9&lt;=Simulation!$F$24*12)</f>
        <v>103.33333333333334</v>
      </c>
      <c r="L9" s="114">
        <f>Simulation!$C$19/12*(1+Simulation!$F$18)^INT((B9-1)/12)*(B9&lt;=Simulation!$F$24*12)</f>
        <v>50</v>
      </c>
      <c r="M9" s="114">
        <f>(Simulation!$C$20/12*(1+Simulation!$F$19)^INT((B9-1)/12)+F9)*(B9&lt;=Simulation!$F$24*12)</f>
        <v>38.06666666666667</v>
      </c>
      <c r="N9" s="114">
        <f>SUMIF('Détail fiscalité'!$B$8:$B$37,INT(B9/12),'Détail fiscalité'!$CI$8:$CI$37)/12+SUMIF('Détail fiscalité'!$B$8:$B$37,B9/12,'Détail fiscalité'!$CI$8:$CI$37)-SUMIF('Détail fiscalité'!$B$8:$B$37,B9/12-1,'Détail fiscalité'!$CI$8:$CI$37)</f>
        <v>0</v>
      </c>
      <c r="O9" s="116">
        <f t="shared" ref="O9:O72" si="5">SUM(H9:I9)-SUM(G9,J9:N9)</f>
        <v>-177.26100944540326</v>
      </c>
      <c r="Q9" s="40">
        <f t="shared" si="1"/>
        <v>2</v>
      </c>
      <c r="R9" s="126">
        <f t="shared" ref="R9:R10" si="6">SUMPRODUCT(C$7:C$367*($B$7:$B$367=$Q9*12))</f>
        <v>162869.24318504828</v>
      </c>
      <c r="S9" s="108">
        <f t="shared" ref="S9:S37" si="7">SUMPRODUCT(D$7:D$367*($B$7:$B$367&gt;$Q8*12)*($B$7:$B$367&lt;=$Q9*12))</f>
        <v>7823.5812856884158</v>
      </c>
      <c r="T9" s="108">
        <f t="shared" ref="T9:T37" si="8">SUMPRODUCT(E$7:E$367*($B$7:$B$367&gt;$Q8*12)*($B$7:$B$367&lt;=$Q9*12))</f>
        <v>2506.7508276564254</v>
      </c>
      <c r="U9" s="108">
        <f t="shared" ref="U9:U37" si="9">SUMPRODUCT(F$7:F$367*($B$7:$B$367&gt;$Q8*12)*($B$7:$B$367&lt;=$Q9*12))</f>
        <v>356.80000000000013</v>
      </c>
      <c r="V9" s="54">
        <f t="shared" ref="V9:V37" si="10">SUMPRODUCT(G$7:G$367*($B$7:$B$367&gt;$Q8*12)*($B$7:$B$367&lt;=$Q9*12))</f>
        <v>10330.332113344841</v>
      </c>
      <c r="W9" s="126">
        <f t="shared" ref="W9:X37" si="11">SUMPRODUCT(H$7:H$367*($B$7:$B$367&gt;$Q8*12)*($B$7:$B$367&lt;=$Q9*12))</f>
        <v>12120</v>
      </c>
      <c r="X9" s="108">
        <f t="shared" si="11"/>
        <v>0</v>
      </c>
      <c r="Y9" s="108">
        <f t="shared" ref="Y9:Y37" si="12">SUMPRODUCT(J$7:J$367*($B$7:$B$367&gt;$Q8*12)*($B$7:$B$367&lt;=$Q9*12))</f>
        <v>1515</v>
      </c>
      <c r="Z9" s="108">
        <f t="shared" ref="Z9:Z37" si="13">SUMPRODUCT(K$7:K$367*($B$7:$B$367&gt;$Q8*12)*($B$7:$B$367&lt;=$Q9*12))</f>
        <v>1252.4000000000001</v>
      </c>
      <c r="AA9" s="108">
        <f t="shared" ref="AA9:AA37" si="14">SUMPRODUCT(L$7:L$367*($B$7:$B$367&gt;$Q8*12)*($B$7:$B$367&lt;=$Q9*12))</f>
        <v>606</v>
      </c>
      <c r="AB9" s="108">
        <f t="shared" ref="AB9:AB37" si="15">SUMPRODUCT(M$7:M$367*($B$7:$B$367&gt;$Q8*12)*($B$7:$B$367&lt;=$Q9*12))</f>
        <v>457.79999999999995</v>
      </c>
      <c r="AC9" s="108">
        <f t="shared" ca="1" si="3"/>
        <v>0</v>
      </c>
      <c r="AD9" s="127">
        <f t="shared" ca="1" si="4"/>
        <v>-2041.5321133448433</v>
      </c>
      <c r="AE9" s="42"/>
    </row>
    <row r="10" spans="2:31" x14ac:dyDescent="0.15">
      <c r="B10" s="40">
        <f t="shared" si="0"/>
        <v>3</v>
      </c>
      <c r="C10" s="113">
        <f>IF(B10&lt;=MIN(Simulation!$F$10*12+Simulation!$F$12*OR(Simulation!$F$11="Amortissable différé partiel",Simulation!$F$11="Amortissable différé total"),Simulation!$F$24*12),IF(AND(B10&lt;=Simulation!$F$12,OR(Simulation!$F$11="Amortissable différé partiel",Simulation!$F$11="Amortissable différé total")),C9*(1+(Simulation!$F$11="Amortissable différé total")*Simulation!$F$8/12),C9-D10),0)</f>
        <v>176484.02399622055</v>
      </c>
      <c r="D10" s="114">
        <f>IF(B10&lt;=MIN(Simulation!$F$10*12+Simulation!$F$12*OR(Simulation!$F$11="Amortissable différé partiel",Simulation!$F$11="Amortissable différé total"),Simulation!$F$24*12),G10-E10,0)</f>
        <v>639.45665862684416</v>
      </c>
      <c r="E10" s="114">
        <f>IF(B10&lt;=MIN(Simulation!$F$10*12+Simulation!$F$12*OR(Simulation!$F$11="Amortissable différé partiel",Simulation!$F$11="Amortissable différé total"),Simulation!$F$24*12),IF(AND(B10&lt;=Simulation!$F$12,Simulation!$F$11="Amortissable différé total"),0,C9*Simulation!$F$8/12),0)</f>
        <v>221.40435081855924</v>
      </c>
      <c r="F10" s="114">
        <f>IF(B10&lt;=MIN(Simulation!$F$10*12+Simulation!$F$12*OR(Simulation!$F$11="Amortissable différé partiel",Simulation!$F$11="Amortissable différé total"),Simulation!$F$24*12),Simulation!$E$33*Simulation!$F$9/12,0)</f>
        <v>29.733333333333334</v>
      </c>
      <c r="G10" s="115">
        <f>IF(B10&lt;=MIN(Simulation!$F$10*12+Simulation!$F$12*OR(Simulation!$F$11="Amortissable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partiel",IF(B10&lt;=Simulation!$F$12,Simulation!$E$33*Simulation!$F$8/12,PMT(Simulation!$F$8/12,Simulation!$F$10*12,-Simulation!$E$34)),IF(Simulation!$F$11="Amortissable différé total",IF(B10&lt;=Simulation!$F$12,0,PMT(Simulation!$F$8/12,Simulation!$F$10*12,-Simulation!$E$34)),IF(Simulation!$F$11="In fine",IF(B10=Simulation!$F$10*12,Simulation!$E$34,Simulation!$F$8*Simulation!$E$34/12),0)))),0)</f>
        <v>860.8610094454034</v>
      </c>
      <c r="H10" s="113">
        <f>Simulation!$C$16/12*(1+Simulation!$F$15)^INT((B10-1)/12)*(B10&lt;=Simulation!$F$24*12)</f>
        <v>1000</v>
      </c>
      <c r="I10" s="114">
        <f>(Simulation!$F$22-VLOOKUP(Simulation!$C$27,'Comparatif fiscal'!$B$8:$E$17,4,FALSE)-C10)*(B10=Simulation!$F$24*12)</f>
        <v>0</v>
      </c>
      <c r="J10" s="114">
        <f>(Simulation!$C$21+Simulation!$C$22)/12*(1+Simulation!$F$17)^INT((B10-1)/12)*(B10&lt;=Simulation!$F$24*12)</f>
        <v>125</v>
      </c>
      <c r="K10" s="114">
        <f>(H10*Simulation!$C$24+Simulation!$C$23/12*(1+Simulation!$F$15)^INT((B10-1)/12))*(B10&lt;=Simulation!$F$24*12)</f>
        <v>103.33333333333334</v>
      </c>
      <c r="L10" s="114">
        <f>Simulation!$C$19/12*(1+Simulation!$F$18)^INT((B10-1)/12)*(B10&lt;=Simulation!$F$24*12)</f>
        <v>50</v>
      </c>
      <c r="M10" s="114">
        <f>(Simulation!$C$20/12*(1+Simulation!$F$19)^INT((B10-1)/12)+F10)*(B10&lt;=Simulation!$F$24*12)</f>
        <v>38.06666666666667</v>
      </c>
      <c r="N10" s="114">
        <f>SUMIF('Détail fiscalité'!$B$8:$B$37,INT(B10/12),'Détail fiscalité'!$CI$8:$CI$37)/12+SUMIF('Détail fiscalité'!$B$8:$B$37,B10/12,'Détail fiscalité'!$CI$8:$CI$37)-SUMIF('Détail fiscalité'!$B$8:$B$37,B10/12-1,'Détail fiscalité'!$CI$8:$CI$37)</f>
        <v>0</v>
      </c>
      <c r="O10" s="116">
        <f t="shared" si="5"/>
        <v>-177.26100944540326</v>
      </c>
      <c r="Q10" s="40">
        <f t="shared" si="1"/>
        <v>3</v>
      </c>
      <c r="R10" s="126">
        <f t="shared" si="6"/>
        <v>154927.49800208566</v>
      </c>
      <c r="S10" s="108">
        <f t="shared" si="7"/>
        <v>7941.7451829626161</v>
      </c>
      <c r="T10" s="108">
        <f t="shared" si="8"/>
        <v>2388.5869303822242</v>
      </c>
      <c r="U10" s="108">
        <f t="shared" si="9"/>
        <v>356.80000000000013</v>
      </c>
      <c r="V10" s="54">
        <f t="shared" si="10"/>
        <v>10330.332113344841</v>
      </c>
      <c r="W10" s="126">
        <f t="shared" si="11"/>
        <v>12241.200000000003</v>
      </c>
      <c r="X10" s="108">
        <f t="shared" si="11"/>
        <v>0</v>
      </c>
      <c r="Y10" s="108">
        <f t="shared" si="12"/>
        <v>1530.1500000000003</v>
      </c>
      <c r="Z10" s="108">
        <f t="shared" si="13"/>
        <v>1264.924</v>
      </c>
      <c r="AA10" s="108">
        <f t="shared" si="14"/>
        <v>612.06000000000006</v>
      </c>
      <c r="AB10" s="108">
        <f t="shared" si="15"/>
        <v>458.81000000000012</v>
      </c>
      <c r="AC10" s="108">
        <f t="shared" ca="1" si="3"/>
        <v>0</v>
      </c>
      <c r="AD10" s="127">
        <f t="shared" ca="1" si="4"/>
        <v>-1955.0761133448405</v>
      </c>
      <c r="AE10" s="42"/>
    </row>
    <row r="11" spans="2:31" x14ac:dyDescent="0.15">
      <c r="B11" s="40">
        <f t="shared" si="0"/>
        <v>4</v>
      </c>
      <c r="C11" s="113">
        <f>IF(B11&lt;=MIN(Simulation!$F$10*12+Simulation!$F$12*OR(Simulation!$F$11="Amortissable différé partiel",Simulation!$F$11="Amortissable différé total"),Simulation!$F$24*12),IF(AND(B11&lt;=Simulation!$F$12,OR(Simulation!$F$11="Amortissable différé partiel",Simulation!$F$11="Amortissable différé total")),C10*(1+(Simulation!$F$11="Amortissable différé total")*Simulation!$F$8/12),C10-D11),0)</f>
        <v>175843.76801677042</v>
      </c>
      <c r="D11" s="114">
        <f>IF(B11&lt;=MIN(Simulation!$F$10*12+Simulation!$F$12*OR(Simulation!$F$11="Amortissable différé partiel",Simulation!$F$11="Amortissable différé total"),Simulation!$F$24*12),G11-E11,0)</f>
        <v>640.25597945012771</v>
      </c>
      <c r="E11" s="114">
        <f>IF(B11&lt;=MIN(Simulation!$F$10*12+Simulation!$F$12*OR(Simulation!$F$11="Amortissable différé partiel",Simulation!$F$11="Amortissable différé total"),Simulation!$F$24*12),IF(AND(B11&lt;=Simulation!$F$12,Simulation!$F$11="Amortissable différé total"),0,C10*Simulation!$F$8/12),0)</f>
        <v>220.60502999527569</v>
      </c>
      <c r="F11" s="114">
        <f>IF(B11&lt;=MIN(Simulation!$F$10*12+Simulation!$F$12*OR(Simulation!$F$11="Amortissable différé partiel",Simulation!$F$11="Amortissable différé total"),Simulation!$F$24*12),Simulation!$E$33*Simulation!$F$9/12,0)</f>
        <v>29.733333333333334</v>
      </c>
      <c r="G11" s="115">
        <f>IF(B11&lt;=MIN(Simulation!$F$10*12+Simulation!$F$12*OR(Simulation!$F$11="Amortissable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partiel",IF(B11&lt;=Simulation!$F$12,Simulation!$E$33*Simulation!$F$8/12,PMT(Simulation!$F$8/12,Simulation!$F$10*12,-Simulation!$E$34)),IF(Simulation!$F$11="Amortissable différé total",IF(B11&lt;=Simulation!$F$12,0,PMT(Simulation!$F$8/12,Simulation!$F$10*12,-Simulation!$E$34)),IF(Simulation!$F$11="In fine",IF(B11=Simulation!$F$10*12,Simulation!$E$34,Simulation!$F$8*Simulation!$E$34/12),0)))),0)</f>
        <v>860.8610094454034</v>
      </c>
      <c r="H11" s="113">
        <f>Simulation!$C$16/12*(1+Simulation!$F$15)^INT((B11-1)/12)*(B11&lt;=Simulation!$F$24*12)</f>
        <v>1000</v>
      </c>
      <c r="I11" s="114">
        <f>(Simulation!$F$22-VLOOKUP(Simulation!$C$27,'Comparatif fiscal'!$B$8:$E$17,4,FALSE)-C11)*(B11=Simulation!$F$24*12)</f>
        <v>0</v>
      </c>
      <c r="J11" s="114">
        <f>(Simulation!$C$21+Simulation!$C$22)/12*(1+Simulation!$F$17)^INT((B11-1)/12)*(B11&lt;=Simulation!$F$24*12)</f>
        <v>125</v>
      </c>
      <c r="K11" s="114">
        <f>(H11*Simulation!$C$24+Simulation!$C$23/12*(1+Simulation!$F$15)^INT((B11-1)/12))*(B11&lt;=Simulation!$F$24*12)</f>
        <v>103.33333333333334</v>
      </c>
      <c r="L11" s="114">
        <f>Simulation!$C$19/12*(1+Simulation!$F$18)^INT((B11-1)/12)*(B11&lt;=Simulation!$F$24*12)</f>
        <v>50</v>
      </c>
      <c r="M11" s="114">
        <f>(Simulation!$C$20/12*(1+Simulation!$F$19)^INT((B11-1)/12)+F11)*(B11&lt;=Simulation!$F$24*12)</f>
        <v>38.06666666666667</v>
      </c>
      <c r="N11" s="114">
        <f>SUMIF('Détail fiscalité'!$B$8:$B$37,INT(B11/12),'Détail fiscalité'!$CI$8:$CI$37)/12+SUMIF('Détail fiscalité'!$B$8:$B$37,B11/12,'Détail fiscalité'!$CI$8:$CI$37)-SUMIF('Détail fiscalité'!$B$8:$B$37,B11/12-1,'Détail fiscalité'!$CI$8:$CI$37)</f>
        <v>0</v>
      </c>
      <c r="O11" s="116">
        <f t="shared" si="5"/>
        <v>-177.26100944540326</v>
      </c>
      <c r="Q11" s="40">
        <f t="shared" si="1"/>
        <v>4</v>
      </c>
      <c r="R11" s="126">
        <f t="shared" ref="R11:R37" si="16">SUMPRODUCT(C$7:C$367*($B$7:$B$367=$Q11*12))</f>
        <v>146865.80422682117</v>
      </c>
      <c r="S11" s="108">
        <f t="shared" si="7"/>
        <v>8061.6937752644744</v>
      </c>
      <c r="T11" s="108">
        <f t="shared" si="8"/>
        <v>2268.6383380803668</v>
      </c>
      <c r="U11" s="108">
        <f t="shared" si="9"/>
        <v>356.80000000000013</v>
      </c>
      <c r="V11" s="54">
        <f t="shared" si="10"/>
        <v>10330.332113344841</v>
      </c>
      <c r="W11" s="126">
        <f t="shared" si="11"/>
        <v>12363.611999999996</v>
      </c>
      <c r="X11" s="108">
        <f t="shared" si="11"/>
        <v>0</v>
      </c>
      <c r="Y11" s="108">
        <f t="shared" si="12"/>
        <v>1545.4514999999994</v>
      </c>
      <c r="Z11" s="108">
        <f t="shared" si="13"/>
        <v>1277.5732399999999</v>
      </c>
      <c r="AA11" s="108">
        <f t="shared" si="14"/>
        <v>618.1805999999998</v>
      </c>
      <c r="AB11" s="108">
        <f t="shared" si="15"/>
        <v>459.8300999999999</v>
      </c>
      <c r="AC11" s="108">
        <f t="shared" ca="1" si="3"/>
        <v>0</v>
      </c>
      <c r="AD11" s="127">
        <f t="shared" ca="1" si="4"/>
        <v>-1867.7555533448412</v>
      </c>
      <c r="AE11" s="42"/>
    </row>
    <row r="12" spans="2:31" x14ac:dyDescent="0.15">
      <c r="B12" s="40">
        <f t="shared" si="0"/>
        <v>5</v>
      </c>
      <c r="C12" s="113">
        <f>IF(B12&lt;=MIN(Simulation!$F$10*12+Simulation!$F$12*OR(Simulation!$F$11="Amortissable différé partiel",Simulation!$F$11="Amortissable différé total"),Simulation!$F$24*12),IF(AND(B12&lt;=Simulation!$F$12,OR(Simulation!$F$11="Amortissable différé partiel",Simulation!$F$11="Amortissable différé total")),C11*(1+(Simulation!$F$11="Amortissable différé total")*Simulation!$F$8/12),C11-D12),0)</f>
        <v>175202.71171734598</v>
      </c>
      <c r="D12" s="114">
        <f>IF(B12&lt;=MIN(Simulation!$F$10*12+Simulation!$F$12*OR(Simulation!$F$11="Amortissable différé partiel",Simulation!$F$11="Amortissable différé total"),Simulation!$F$24*12),G12-E12,0)</f>
        <v>641.05629942444034</v>
      </c>
      <c r="E12" s="114">
        <f>IF(B12&lt;=MIN(Simulation!$F$10*12+Simulation!$F$12*OR(Simulation!$F$11="Amortissable différé partiel",Simulation!$F$11="Amortissable différé total"),Simulation!$F$24*12),IF(AND(B12&lt;=Simulation!$F$12,Simulation!$F$11="Amortissable différé total"),0,C11*Simulation!$F$8/12),0)</f>
        <v>219.80471002096303</v>
      </c>
      <c r="F12" s="114">
        <f>IF(B12&lt;=MIN(Simulation!$F$10*12+Simulation!$F$12*OR(Simulation!$F$11="Amortissable différé partiel",Simulation!$F$11="Amortissable différé total"),Simulation!$F$24*12),Simulation!$E$33*Simulation!$F$9/12,0)</f>
        <v>29.733333333333334</v>
      </c>
      <c r="G12" s="115">
        <f>IF(B12&lt;=MIN(Simulation!$F$10*12+Simulation!$F$12*OR(Simulation!$F$11="Amortissable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partiel",IF(B12&lt;=Simulation!$F$12,Simulation!$E$33*Simulation!$F$8/12,PMT(Simulation!$F$8/12,Simulation!$F$10*12,-Simulation!$E$34)),IF(Simulation!$F$11="Amortissable différé total",IF(B12&lt;=Simulation!$F$12,0,PMT(Simulation!$F$8/12,Simulation!$F$10*12,-Simulation!$E$34)),IF(Simulation!$F$11="In fine",IF(B12=Simulation!$F$10*12,Simulation!$E$34,Simulation!$F$8*Simulation!$E$34/12),0)))),0)</f>
        <v>860.8610094454034</v>
      </c>
      <c r="H12" s="113">
        <f>Simulation!$C$16/12*(1+Simulation!$F$15)^INT((B12-1)/12)*(B12&lt;=Simulation!$F$24*12)</f>
        <v>1000</v>
      </c>
      <c r="I12" s="114">
        <f>(Simulation!$F$22-VLOOKUP(Simulation!$C$27,'Comparatif fiscal'!$B$8:$E$17,4,FALSE)-C12)*(B12=Simulation!$F$24*12)</f>
        <v>0</v>
      </c>
      <c r="J12" s="114">
        <f>(Simulation!$C$21+Simulation!$C$22)/12*(1+Simulation!$F$17)^INT((B12-1)/12)*(B12&lt;=Simulation!$F$24*12)</f>
        <v>125</v>
      </c>
      <c r="K12" s="114">
        <f>(H12*Simulation!$C$24+Simulation!$C$23/12*(1+Simulation!$F$15)^INT((B12-1)/12))*(B12&lt;=Simulation!$F$24*12)</f>
        <v>103.33333333333334</v>
      </c>
      <c r="L12" s="114">
        <f>Simulation!$C$19/12*(1+Simulation!$F$18)^INT((B12-1)/12)*(B12&lt;=Simulation!$F$24*12)</f>
        <v>50</v>
      </c>
      <c r="M12" s="114">
        <f>(Simulation!$C$20/12*(1+Simulation!$F$19)^INT((B12-1)/12)+F12)*(B12&lt;=Simulation!$F$24*12)</f>
        <v>38.06666666666667</v>
      </c>
      <c r="N12" s="114">
        <f>SUMIF('Détail fiscalité'!$B$8:$B$37,INT(B12/12),'Détail fiscalité'!$CI$8:$CI$37)/12+SUMIF('Détail fiscalité'!$B$8:$B$37,B12/12,'Détail fiscalité'!$CI$8:$CI$37)-SUMIF('Détail fiscalité'!$B$8:$B$37,B12/12-1,'Détail fiscalité'!$CI$8:$CI$37)</f>
        <v>0</v>
      </c>
      <c r="O12" s="116">
        <f t="shared" si="5"/>
        <v>-177.26100944540326</v>
      </c>
      <c r="Q12" s="40">
        <f t="shared" si="1"/>
        <v>5</v>
      </c>
      <c r="R12" s="126">
        <f t="shared" si="16"/>
        <v>138682.35020898608</v>
      </c>
      <c r="S12" s="108">
        <f t="shared" si="7"/>
        <v>8183.4540178350971</v>
      </c>
      <c r="T12" s="108">
        <f t="shared" si="8"/>
        <v>2146.8780955097427</v>
      </c>
      <c r="U12" s="108">
        <f t="shared" si="9"/>
        <v>356.80000000000013</v>
      </c>
      <c r="V12" s="54">
        <f t="shared" si="10"/>
        <v>10330.332113344841</v>
      </c>
      <c r="W12" s="126">
        <f t="shared" si="11"/>
        <v>12487.248119999997</v>
      </c>
      <c r="X12" s="108">
        <f t="shared" si="11"/>
        <v>0</v>
      </c>
      <c r="Y12" s="108">
        <f t="shared" si="12"/>
        <v>1560.9060149999996</v>
      </c>
      <c r="Z12" s="108">
        <f t="shared" si="13"/>
        <v>1290.3489724000001</v>
      </c>
      <c r="AA12" s="108">
        <f t="shared" si="14"/>
        <v>624.36240599999985</v>
      </c>
      <c r="AB12" s="108">
        <f t="shared" si="15"/>
        <v>460.86040100000014</v>
      </c>
      <c r="AC12" s="108">
        <f t="shared" ca="1" si="3"/>
        <v>0</v>
      </c>
      <c r="AD12" s="127">
        <f t="shared" ca="1" si="4"/>
        <v>-1779.5617877448421</v>
      </c>
      <c r="AE12" s="42"/>
    </row>
    <row r="13" spans="2:31" x14ac:dyDescent="0.15">
      <c r="B13" s="40">
        <f t="shared" si="0"/>
        <v>6</v>
      </c>
      <c r="C13" s="113">
        <f>IF(B13&lt;=MIN(Simulation!$F$10*12+Simulation!$F$12*OR(Simulation!$F$11="Amortissable différé partiel",Simulation!$F$11="Amortissable différé total"),Simulation!$F$24*12),IF(AND(B13&lt;=Simulation!$F$12,OR(Simulation!$F$11="Amortissable différé partiel",Simulation!$F$11="Amortissable différé total")),C12*(1+(Simulation!$F$11="Amortissable différé total")*Simulation!$F$8/12),C12-D13),0)</f>
        <v>174560.85409754727</v>
      </c>
      <c r="D13" s="114">
        <f>IF(B13&lt;=MIN(Simulation!$F$10*12+Simulation!$F$12*OR(Simulation!$F$11="Amortissable différé partiel",Simulation!$F$11="Amortissable différé total"),Simulation!$F$24*12),G13-E13,0)</f>
        <v>641.85761979872098</v>
      </c>
      <c r="E13" s="114">
        <f>IF(B13&lt;=MIN(Simulation!$F$10*12+Simulation!$F$12*OR(Simulation!$F$11="Amortissable différé partiel",Simulation!$F$11="Amortissable différé total"),Simulation!$F$24*12),IF(AND(B13&lt;=Simulation!$F$12,Simulation!$F$11="Amortissable différé total"),0,C12*Simulation!$F$8/12),0)</f>
        <v>219.00338964668245</v>
      </c>
      <c r="F13" s="114">
        <f>IF(B13&lt;=MIN(Simulation!$F$10*12+Simulation!$F$12*OR(Simulation!$F$11="Amortissable différé partiel",Simulation!$F$11="Amortissable différé total"),Simulation!$F$24*12),Simulation!$E$33*Simulation!$F$9/12,0)</f>
        <v>29.733333333333334</v>
      </c>
      <c r="G13" s="115">
        <f>IF(B13&lt;=MIN(Simulation!$F$10*12+Simulation!$F$12*OR(Simulation!$F$11="Amortissable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partiel",IF(B13&lt;=Simulation!$F$12,Simulation!$E$33*Simulation!$F$8/12,PMT(Simulation!$F$8/12,Simulation!$F$10*12,-Simulation!$E$34)),IF(Simulation!$F$11="Amortissable différé total",IF(B13&lt;=Simulation!$F$12,0,PMT(Simulation!$F$8/12,Simulation!$F$10*12,-Simulation!$E$34)),IF(Simulation!$F$11="In fine",IF(B13=Simulation!$F$10*12,Simulation!$E$34,Simulation!$F$8*Simulation!$E$34/12),0)))),0)</f>
        <v>860.8610094454034</v>
      </c>
      <c r="H13" s="113">
        <f>Simulation!$C$16/12*(1+Simulation!$F$15)^INT((B13-1)/12)*(B13&lt;=Simulation!$F$24*12)</f>
        <v>1000</v>
      </c>
      <c r="I13" s="114">
        <f>(Simulation!$F$22-VLOOKUP(Simulation!$C$27,'Comparatif fiscal'!$B$8:$E$17,4,FALSE)-C13)*(B13=Simulation!$F$24*12)</f>
        <v>0</v>
      </c>
      <c r="J13" s="114">
        <f>(Simulation!$C$21+Simulation!$C$22)/12*(1+Simulation!$F$17)^INT((B13-1)/12)*(B13&lt;=Simulation!$F$24*12)</f>
        <v>125</v>
      </c>
      <c r="K13" s="114">
        <f>(H13*Simulation!$C$24+Simulation!$C$23/12*(1+Simulation!$F$15)^INT((B13-1)/12))*(B13&lt;=Simulation!$F$24*12)</f>
        <v>103.33333333333334</v>
      </c>
      <c r="L13" s="114">
        <f>Simulation!$C$19/12*(1+Simulation!$F$18)^INT((B13-1)/12)*(B13&lt;=Simulation!$F$24*12)</f>
        <v>50</v>
      </c>
      <c r="M13" s="114">
        <f>(Simulation!$C$20/12*(1+Simulation!$F$19)^INT((B13-1)/12)+F13)*(B13&lt;=Simulation!$F$24*12)</f>
        <v>38.06666666666667</v>
      </c>
      <c r="N13" s="114">
        <f>SUMIF('Détail fiscalité'!$B$8:$B$37,INT(B13/12),'Détail fiscalité'!$CI$8:$CI$37)/12+SUMIF('Détail fiscalité'!$B$8:$B$37,B13/12,'Détail fiscalité'!$CI$8:$CI$37)-SUMIF('Détail fiscalité'!$B$8:$B$37,B13/12-1,'Détail fiscalité'!$CI$8:$CI$37)</f>
        <v>0</v>
      </c>
      <c r="O13" s="116">
        <f t="shared" si="5"/>
        <v>-177.26100944540326</v>
      </c>
      <c r="Q13" s="40">
        <f t="shared" si="1"/>
        <v>6</v>
      </c>
      <c r="R13" s="126">
        <f t="shared" si="16"/>
        <v>130375.29693595052</v>
      </c>
      <c r="S13" s="108">
        <f t="shared" si="7"/>
        <v>8307.0532730355917</v>
      </c>
      <c r="T13" s="108">
        <f t="shared" si="8"/>
        <v>2023.2788403092486</v>
      </c>
      <c r="U13" s="108">
        <f t="shared" si="9"/>
        <v>356.80000000000013</v>
      </c>
      <c r="V13" s="54">
        <f t="shared" si="10"/>
        <v>10330.332113344841</v>
      </c>
      <c r="W13" s="126">
        <f t="shared" si="11"/>
        <v>12612.120601199998</v>
      </c>
      <c r="X13" s="108">
        <f t="shared" si="11"/>
        <v>0</v>
      </c>
      <c r="Y13" s="108">
        <f t="shared" si="12"/>
        <v>1576.5150751499998</v>
      </c>
      <c r="Z13" s="108">
        <f t="shared" si="13"/>
        <v>1303.252462124</v>
      </c>
      <c r="AA13" s="108">
        <f t="shared" si="14"/>
        <v>630.60603005999997</v>
      </c>
      <c r="AB13" s="108">
        <f t="shared" si="15"/>
        <v>461.90100500999989</v>
      </c>
      <c r="AC13" s="108">
        <f t="shared" ca="1" si="3"/>
        <v>0</v>
      </c>
      <c r="AD13" s="127">
        <f t="shared" ca="1" si="4"/>
        <v>-1690.4860844888417</v>
      </c>
      <c r="AE13" s="42"/>
    </row>
    <row r="14" spans="2:31" x14ac:dyDescent="0.15">
      <c r="B14" s="40">
        <f t="shared" si="0"/>
        <v>7</v>
      </c>
      <c r="C14" s="113">
        <f>IF(B14&lt;=MIN(Simulation!$F$10*12+Simulation!$F$12*OR(Simulation!$F$11="Amortissable différé partiel",Simulation!$F$11="Amortissable différé total"),Simulation!$F$24*12),IF(AND(B14&lt;=Simulation!$F$12,OR(Simulation!$F$11="Amortissable différé partiel",Simulation!$F$11="Amortissable différé total")),C13*(1+(Simulation!$F$11="Amortissable différé total")*Simulation!$F$8/12),C13-D14),0)</f>
        <v>173918.19415572379</v>
      </c>
      <c r="D14" s="114">
        <f>IF(B14&lt;=MIN(Simulation!$F$10*12+Simulation!$F$12*OR(Simulation!$F$11="Amortissable différé partiel",Simulation!$F$11="Amortissable différé total"),Simulation!$F$24*12),G14-E14,0)</f>
        <v>642.65994182346935</v>
      </c>
      <c r="E14" s="114">
        <f>IF(B14&lt;=MIN(Simulation!$F$10*12+Simulation!$F$12*OR(Simulation!$F$11="Amortissable différé partiel",Simulation!$F$11="Amortissable différé total"),Simulation!$F$24*12),IF(AND(B14&lt;=Simulation!$F$12,Simulation!$F$11="Amortissable différé total"),0,C13*Simulation!$F$8/12),0)</f>
        <v>218.20106762193407</v>
      </c>
      <c r="F14" s="114">
        <f>IF(B14&lt;=MIN(Simulation!$F$10*12+Simulation!$F$12*OR(Simulation!$F$11="Amortissable différé partiel",Simulation!$F$11="Amortissable différé total"),Simulation!$F$24*12),Simulation!$E$33*Simulation!$F$9/12,0)</f>
        <v>29.733333333333334</v>
      </c>
      <c r="G14" s="115">
        <f>IF(B14&lt;=MIN(Simulation!$F$10*12+Simulation!$F$12*OR(Simulation!$F$11="Amortissable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partiel",IF(B14&lt;=Simulation!$F$12,Simulation!$E$33*Simulation!$F$8/12,PMT(Simulation!$F$8/12,Simulation!$F$10*12,-Simulation!$E$34)),IF(Simulation!$F$11="Amortissable différé total",IF(B14&lt;=Simulation!$F$12,0,PMT(Simulation!$F$8/12,Simulation!$F$10*12,-Simulation!$E$34)),IF(Simulation!$F$11="In fine",IF(B14=Simulation!$F$10*12,Simulation!$E$34,Simulation!$F$8*Simulation!$E$34/12),0)))),0)</f>
        <v>860.8610094454034</v>
      </c>
      <c r="H14" s="113">
        <f>Simulation!$C$16/12*(1+Simulation!$F$15)^INT((B14-1)/12)*(B14&lt;=Simulation!$F$24*12)</f>
        <v>1000</v>
      </c>
      <c r="I14" s="114">
        <f>(Simulation!$F$22-VLOOKUP(Simulation!$C$27,'Comparatif fiscal'!$B$8:$E$17,4,FALSE)-C14)*(B14=Simulation!$F$24*12)</f>
        <v>0</v>
      </c>
      <c r="J14" s="114">
        <f>(Simulation!$C$21+Simulation!$C$22)/12*(1+Simulation!$F$17)^INT((B14-1)/12)*(B14&lt;=Simulation!$F$24*12)</f>
        <v>125</v>
      </c>
      <c r="K14" s="114">
        <f>(H14*Simulation!$C$24+Simulation!$C$23/12*(1+Simulation!$F$15)^INT((B14-1)/12))*(B14&lt;=Simulation!$F$24*12)</f>
        <v>103.33333333333334</v>
      </c>
      <c r="L14" s="114">
        <f>Simulation!$C$19/12*(1+Simulation!$F$18)^INT((B14-1)/12)*(B14&lt;=Simulation!$F$24*12)</f>
        <v>50</v>
      </c>
      <c r="M14" s="114">
        <f>(Simulation!$C$20/12*(1+Simulation!$F$19)^INT((B14-1)/12)+F14)*(B14&lt;=Simulation!$F$24*12)</f>
        <v>38.06666666666667</v>
      </c>
      <c r="N14" s="114">
        <f>SUMIF('Détail fiscalité'!$B$8:$B$37,INT(B14/12),'Détail fiscalité'!$CI$8:$CI$37)/12+SUMIF('Détail fiscalité'!$B$8:$B$37,B14/12,'Détail fiscalité'!$CI$8:$CI$37)-SUMIF('Détail fiscalité'!$B$8:$B$37,B14/12-1,'Détail fiscalité'!$CI$8:$CI$37)</f>
        <v>0</v>
      </c>
      <c r="O14" s="116">
        <f t="shared" si="5"/>
        <v>-177.26100944540326</v>
      </c>
      <c r="Q14" s="40">
        <f t="shared" si="1"/>
        <v>7</v>
      </c>
      <c r="R14" s="126">
        <f t="shared" si="16"/>
        <v>121942.77761945453</v>
      </c>
      <c r="S14" s="108">
        <f t="shared" si="7"/>
        <v>8432.519316496011</v>
      </c>
      <c r="T14" s="108">
        <f t="shared" si="8"/>
        <v>1897.8127968488311</v>
      </c>
      <c r="U14" s="108">
        <f t="shared" si="9"/>
        <v>356.80000000000013</v>
      </c>
      <c r="V14" s="54">
        <f t="shared" si="10"/>
        <v>10330.332113344841</v>
      </c>
      <c r="W14" s="126">
        <f t="shared" si="11"/>
        <v>12738.241807212</v>
      </c>
      <c r="X14" s="108">
        <f t="shared" si="11"/>
        <v>0</v>
      </c>
      <c r="Y14" s="108">
        <f t="shared" si="12"/>
        <v>1592.2802259015</v>
      </c>
      <c r="Z14" s="108">
        <f t="shared" si="13"/>
        <v>1316.2849867452405</v>
      </c>
      <c r="AA14" s="108">
        <f t="shared" si="14"/>
        <v>636.91209036060002</v>
      </c>
      <c r="AB14" s="108">
        <f t="shared" si="15"/>
        <v>462.95201506010011</v>
      </c>
      <c r="AC14" s="108">
        <f t="shared" ca="1" si="3"/>
        <v>0</v>
      </c>
      <c r="AD14" s="127">
        <f t="shared" ca="1" si="4"/>
        <v>-1600.5196242002812</v>
      </c>
      <c r="AE14" s="42"/>
    </row>
    <row r="15" spans="2:31" x14ac:dyDescent="0.15">
      <c r="B15" s="40">
        <f t="shared" si="0"/>
        <v>8</v>
      </c>
      <c r="C15" s="113">
        <f>IF(B15&lt;=MIN(Simulation!$F$10*12+Simulation!$F$12*OR(Simulation!$F$11="Amortissable différé partiel",Simulation!$F$11="Amortissable différé total"),Simulation!$F$24*12),IF(AND(B15&lt;=Simulation!$F$12,OR(Simulation!$F$11="Amortissable différé partiel",Simulation!$F$11="Amortissable différé total")),C14*(1+(Simulation!$F$11="Amortissable différé total")*Simulation!$F$8/12),C14-D15),0)</f>
        <v>173274.73088897305</v>
      </c>
      <c r="D15" s="114">
        <f>IF(B15&lt;=MIN(Simulation!$F$10*12+Simulation!$F$12*OR(Simulation!$F$11="Amortissable différé partiel",Simulation!$F$11="Amortissable différé total"),Simulation!$F$24*12),G15-E15,0)</f>
        <v>643.46326675074863</v>
      </c>
      <c r="E15" s="114">
        <f>IF(B15&lt;=MIN(Simulation!$F$10*12+Simulation!$F$12*OR(Simulation!$F$11="Amortissable différé partiel",Simulation!$F$11="Amortissable différé total"),Simulation!$F$24*12),IF(AND(B15&lt;=Simulation!$F$12,Simulation!$F$11="Amortissable différé total"),0,C14*Simulation!$F$8/12),0)</f>
        <v>217.39774269465474</v>
      </c>
      <c r="F15" s="114">
        <f>IF(B15&lt;=MIN(Simulation!$F$10*12+Simulation!$F$12*OR(Simulation!$F$11="Amortissable différé partiel",Simulation!$F$11="Amortissable différé total"),Simulation!$F$24*12),Simulation!$E$33*Simulation!$F$9/12,0)</f>
        <v>29.733333333333334</v>
      </c>
      <c r="G15" s="115">
        <f>IF(B15&lt;=MIN(Simulation!$F$10*12+Simulation!$F$12*OR(Simulation!$F$11="Amortissable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partiel",IF(B15&lt;=Simulation!$F$12,Simulation!$E$33*Simulation!$F$8/12,PMT(Simulation!$F$8/12,Simulation!$F$10*12,-Simulation!$E$34)),IF(Simulation!$F$11="Amortissable différé total",IF(B15&lt;=Simulation!$F$12,0,PMT(Simulation!$F$8/12,Simulation!$F$10*12,-Simulation!$E$34)),IF(Simulation!$F$11="In fine",IF(B15=Simulation!$F$10*12,Simulation!$E$34,Simulation!$F$8*Simulation!$E$34/12),0)))),0)</f>
        <v>860.8610094454034</v>
      </c>
      <c r="H15" s="113">
        <f>Simulation!$C$16/12*(1+Simulation!$F$15)^INT((B15-1)/12)*(B15&lt;=Simulation!$F$24*12)</f>
        <v>1000</v>
      </c>
      <c r="I15" s="114">
        <f>(Simulation!$F$22-VLOOKUP(Simulation!$C$27,'Comparatif fiscal'!$B$8:$E$17,4,FALSE)-C15)*(B15=Simulation!$F$24*12)</f>
        <v>0</v>
      </c>
      <c r="J15" s="114">
        <f>(Simulation!$C$21+Simulation!$C$22)/12*(1+Simulation!$F$17)^INT((B15-1)/12)*(B15&lt;=Simulation!$F$24*12)</f>
        <v>125</v>
      </c>
      <c r="K15" s="114">
        <f>(H15*Simulation!$C$24+Simulation!$C$23/12*(1+Simulation!$F$15)^INT((B15-1)/12))*(B15&lt;=Simulation!$F$24*12)</f>
        <v>103.33333333333334</v>
      </c>
      <c r="L15" s="114">
        <f>Simulation!$C$19/12*(1+Simulation!$F$18)^INT((B15-1)/12)*(B15&lt;=Simulation!$F$24*12)</f>
        <v>50</v>
      </c>
      <c r="M15" s="114">
        <f>(Simulation!$C$20/12*(1+Simulation!$F$19)^INT((B15-1)/12)+F15)*(B15&lt;=Simulation!$F$24*12)</f>
        <v>38.06666666666667</v>
      </c>
      <c r="N15" s="114">
        <f>SUMIF('Détail fiscalité'!$B$8:$B$37,INT(B15/12),'Détail fiscalité'!$CI$8:$CI$37)/12+SUMIF('Détail fiscalité'!$B$8:$B$37,B15/12,'Détail fiscalité'!$CI$8:$CI$37)-SUMIF('Détail fiscalité'!$B$8:$B$37,B15/12-1,'Détail fiscalité'!$CI$8:$CI$37)</f>
        <v>0</v>
      </c>
      <c r="O15" s="116">
        <f t="shared" si="5"/>
        <v>-177.26100944540326</v>
      </c>
      <c r="Q15" s="40">
        <f t="shared" si="1"/>
        <v>8</v>
      </c>
      <c r="R15" s="126">
        <f t="shared" si="16"/>
        <v>113382.89727609733</v>
      </c>
      <c r="S15" s="108">
        <f t="shared" si="7"/>
        <v>8559.8803433571848</v>
      </c>
      <c r="T15" s="108">
        <f t="shared" si="8"/>
        <v>1770.4517699876558</v>
      </c>
      <c r="U15" s="108">
        <f t="shared" si="9"/>
        <v>356.80000000000013</v>
      </c>
      <c r="V15" s="54">
        <f t="shared" si="10"/>
        <v>10330.332113344841</v>
      </c>
      <c r="W15" s="126">
        <f t="shared" si="11"/>
        <v>12865.62422528412</v>
      </c>
      <c r="X15" s="108">
        <f t="shared" si="11"/>
        <v>0</v>
      </c>
      <c r="Y15" s="108">
        <f t="shared" si="12"/>
        <v>1608.203028160515</v>
      </c>
      <c r="Z15" s="108">
        <f t="shared" si="13"/>
        <v>1329.4478366126923</v>
      </c>
      <c r="AA15" s="108">
        <f t="shared" si="14"/>
        <v>643.28121126420592</v>
      </c>
      <c r="AB15" s="108">
        <f t="shared" si="15"/>
        <v>464.01353521070092</v>
      </c>
      <c r="AC15" s="108">
        <f t="shared" ca="1" si="3"/>
        <v>0</v>
      </c>
      <c r="AD15" s="127">
        <f t="shared" ca="1" si="4"/>
        <v>-1509.6534993088389</v>
      </c>
      <c r="AE15" s="42"/>
    </row>
    <row r="16" spans="2:31" x14ac:dyDescent="0.15">
      <c r="B16" s="40">
        <f t="shared" si="0"/>
        <v>9</v>
      </c>
      <c r="C16" s="113">
        <f>IF(B16&lt;=MIN(Simulation!$F$10*12+Simulation!$F$12*OR(Simulation!$F$11="Amortissable différé partiel",Simulation!$F$11="Amortissable différé total"),Simulation!$F$24*12),IF(AND(B16&lt;=Simulation!$F$12,OR(Simulation!$F$11="Amortissable différé partiel",Simulation!$F$11="Amortissable différé total")),C15*(1+(Simulation!$F$11="Amortissable différé total")*Simulation!$F$8/12),C15-D16),0)</f>
        <v>172630.46329313886</v>
      </c>
      <c r="D16" s="114">
        <f>IF(B16&lt;=MIN(Simulation!$F$10*12+Simulation!$F$12*OR(Simulation!$F$11="Amortissable différé partiel",Simulation!$F$11="Amortissable différé total"),Simulation!$F$24*12),G16-E16,0)</f>
        <v>644.26759583418709</v>
      </c>
      <c r="E16" s="114">
        <f>IF(B16&lt;=MIN(Simulation!$F$10*12+Simulation!$F$12*OR(Simulation!$F$11="Amortissable différé partiel",Simulation!$F$11="Amortissable différé total"),Simulation!$F$24*12),IF(AND(B16&lt;=Simulation!$F$12,Simulation!$F$11="Amortissable différé total"),0,C15*Simulation!$F$8/12),0)</f>
        <v>216.59341361121631</v>
      </c>
      <c r="F16" s="114">
        <f>IF(B16&lt;=MIN(Simulation!$F$10*12+Simulation!$F$12*OR(Simulation!$F$11="Amortissable différé partiel",Simulation!$F$11="Amortissable différé total"),Simulation!$F$24*12),Simulation!$E$33*Simulation!$F$9/12,0)</f>
        <v>29.733333333333334</v>
      </c>
      <c r="G16" s="115">
        <f>IF(B16&lt;=MIN(Simulation!$F$10*12+Simulation!$F$12*OR(Simulation!$F$11="Amortissable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partiel",IF(B16&lt;=Simulation!$F$12,Simulation!$E$33*Simulation!$F$8/12,PMT(Simulation!$F$8/12,Simulation!$F$10*12,-Simulation!$E$34)),IF(Simulation!$F$11="Amortissable différé total",IF(B16&lt;=Simulation!$F$12,0,PMT(Simulation!$F$8/12,Simulation!$F$10*12,-Simulation!$E$34)),IF(Simulation!$F$11="In fine",IF(B16=Simulation!$F$10*12,Simulation!$E$34,Simulation!$F$8*Simulation!$E$34/12),0)))),0)</f>
        <v>860.8610094454034</v>
      </c>
      <c r="H16" s="113">
        <f>Simulation!$C$16/12*(1+Simulation!$F$15)^INT((B16-1)/12)*(B16&lt;=Simulation!$F$24*12)</f>
        <v>1000</v>
      </c>
      <c r="I16" s="114">
        <f>(Simulation!$F$22-VLOOKUP(Simulation!$C$27,'Comparatif fiscal'!$B$8:$E$17,4,FALSE)-C16)*(B16=Simulation!$F$24*12)</f>
        <v>0</v>
      </c>
      <c r="J16" s="114">
        <f>(Simulation!$C$21+Simulation!$C$22)/12*(1+Simulation!$F$17)^INT((B16-1)/12)*(B16&lt;=Simulation!$F$24*12)</f>
        <v>125</v>
      </c>
      <c r="K16" s="114">
        <f>(H16*Simulation!$C$24+Simulation!$C$23/12*(1+Simulation!$F$15)^INT((B16-1)/12))*(B16&lt;=Simulation!$F$24*12)</f>
        <v>103.33333333333334</v>
      </c>
      <c r="L16" s="114">
        <f>Simulation!$C$19/12*(1+Simulation!$F$18)^INT((B16-1)/12)*(B16&lt;=Simulation!$F$24*12)</f>
        <v>50</v>
      </c>
      <c r="M16" s="114">
        <f>(Simulation!$C$20/12*(1+Simulation!$F$19)^INT((B16-1)/12)+F16)*(B16&lt;=Simulation!$F$24*12)</f>
        <v>38.06666666666667</v>
      </c>
      <c r="N16" s="114">
        <f>SUMIF('Détail fiscalité'!$B$8:$B$37,INT(B16/12),'Détail fiscalité'!$CI$8:$CI$37)/12+SUMIF('Détail fiscalité'!$B$8:$B$37,B16/12,'Détail fiscalité'!$CI$8:$CI$37)-SUMIF('Détail fiscalité'!$B$8:$B$37,B16/12-1,'Détail fiscalité'!$CI$8:$CI$37)</f>
        <v>0</v>
      </c>
      <c r="O16" s="116">
        <f t="shared" si="5"/>
        <v>-177.26100944540326</v>
      </c>
      <c r="Q16" s="40">
        <f t="shared" si="1"/>
        <v>9</v>
      </c>
      <c r="R16" s="126">
        <f t="shared" si="16"/>
        <v>104693.73230149047</v>
      </c>
      <c r="S16" s="108">
        <f t="shared" si="7"/>
        <v>8689.1649746068379</v>
      </c>
      <c r="T16" s="108">
        <f t="shared" si="8"/>
        <v>1641.1671387380029</v>
      </c>
      <c r="U16" s="108">
        <f t="shared" si="9"/>
        <v>356.80000000000013</v>
      </c>
      <c r="V16" s="54">
        <f t="shared" si="10"/>
        <v>10330.332113344841</v>
      </c>
      <c r="W16" s="126">
        <f t="shared" si="11"/>
        <v>12994.280467536964</v>
      </c>
      <c r="X16" s="108">
        <f t="shared" si="11"/>
        <v>0</v>
      </c>
      <c r="Y16" s="108">
        <f t="shared" si="12"/>
        <v>1624.2850584421205</v>
      </c>
      <c r="Z16" s="108">
        <f t="shared" si="13"/>
        <v>1342.7423149788194</v>
      </c>
      <c r="AA16" s="108">
        <f t="shared" si="14"/>
        <v>649.7140233768481</v>
      </c>
      <c r="AB16" s="108">
        <f t="shared" si="15"/>
        <v>465.08567056280793</v>
      </c>
      <c r="AC16" s="108">
        <f t="shared" ca="1" si="3"/>
        <v>0</v>
      </c>
      <c r="AD16" s="127">
        <f t="shared" ca="1" si="4"/>
        <v>-1417.8787131684749</v>
      </c>
      <c r="AE16" s="42"/>
    </row>
    <row r="17" spans="2:31" x14ac:dyDescent="0.15">
      <c r="B17" s="40">
        <f t="shared" si="0"/>
        <v>10</v>
      </c>
      <c r="C17" s="113">
        <f>IF(B17&lt;=MIN(Simulation!$F$10*12+Simulation!$F$12*OR(Simulation!$F$11="Amortissable différé partiel",Simulation!$F$11="Amortissable différé total"),Simulation!$F$24*12),IF(AND(B17&lt;=Simulation!$F$12,OR(Simulation!$F$11="Amortissable différé partiel",Simulation!$F$11="Amortissable différé total")),C16*(1+(Simulation!$F$11="Amortissable différé total")*Simulation!$F$8/12),C16-D17),0)</f>
        <v>171985.39036280988</v>
      </c>
      <c r="D17" s="114">
        <f>IF(B17&lt;=MIN(Simulation!$F$10*12+Simulation!$F$12*OR(Simulation!$F$11="Amortissable différé partiel",Simulation!$F$11="Amortissable différé total"),Simulation!$F$24*12),G17-E17,0)</f>
        <v>645.07293032897985</v>
      </c>
      <c r="E17" s="114">
        <f>IF(B17&lt;=MIN(Simulation!$F$10*12+Simulation!$F$12*OR(Simulation!$F$11="Amortissable différé partiel",Simulation!$F$11="Amortissable différé total"),Simulation!$F$24*12),IF(AND(B17&lt;=Simulation!$F$12,Simulation!$F$11="Amortissable différé total"),0,C16*Simulation!$F$8/12),0)</f>
        <v>215.78807911642357</v>
      </c>
      <c r="F17" s="114">
        <f>IF(B17&lt;=MIN(Simulation!$F$10*12+Simulation!$F$12*OR(Simulation!$F$11="Amortissable différé partiel",Simulation!$F$11="Amortissable différé total"),Simulation!$F$24*12),Simulation!$E$33*Simulation!$F$9/12,0)</f>
        <v>29.733333333333334</v>
      </c>
      <c r="G17" s="115">
        <f>IF(B17&lt;=MIN(Simulation!$F$10*12+Simulation!$F$12*OR(Simulation!$F$11="Amortissable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partiel",IF(B17&lt;=Simulation!$F$12,Simulation!$E$33*Simulation!$F$8/12,PMT(Simulation!$F$8/12,Simulation!$F$10*12,-Simulation!$E$34)),IF(Simulation!$F$11="Amortissable différé total",IF(B17&lt;=Simulation!$F$12,0,PMT(Simulation!$F$8/12,Simulation!$F$10*12,-Simulation!$E$34)),IF(Simulation!$F$11="In fine",IF(B17=Simulation!$F$10*12,Simulation!$E$34,Simulation!$F$8*Simulation!$E$34/12),0)))),0)</f>
        <v>860.8610094454034</v>
      </c>
      <c r="H17" s="113">
        <f>Simulation!$C$16/12*(1+Simulation!$F$15)^INT((B17-1)/12)*(B17&lt;=Simulation!$F$24*12)</f>
        <v>1000</v>
      </c>
      <c r="I17" s="114">
        <f>(Simulation!$F$22-VLOOKUP(Simulation!$C$27,'Comparatif fiscal'!$B$8:$E$17,4,FALSE)-C17)*(B17=Simulation!$F$24*12)</f>
        <v>0</v>
      </c>
      <c r="J17" s="114">
        <f>(Simulation!$C$21+Simulation!$C$22)/12*(1+Simulation!$F$17)^INT((B17-1)/12)*(B17&lt;=Simulation!$F$24*12)</f>
        <v>125</v>
      </c>
      <c r="K17" s="114">
        <f>(H17*Simulation!$C$24+Simulation!$C$23/12*(1+Simulation!$F$15)^INT((B17-1)/12))*(B17&lt;=Simulation!$F$24*12)</f>
        <v>103.33333333333334</v>
      </c>
      <c r="L17" s="114">
        <f>Simulation!$C$19/12*(1+Simulation!$F$18)^INT((B17-1)/12)*(B17&lt;=Simulation!$F$24*12)</f>
        <v>50</v>
      </c>
      <c r="M17" s="114">
        <f>(Simulation!$C$20/12*(1+Simulation!$F$19)^INT((B17-1)/12)+F17)*(B17&lt;=Simulation!$F$24*12)</f>
        <v>38.06666666666667</v>
      </c>
      <c r="N17" s="114">
        <f>SUMIF('Détail fiscalité'!$B$8:$B$37,INT(B17/12),'Détail fiscalité'!$CI$8:$CI$37)/12+SUMIF('Détail fiscalité'!$B$8:$B$37,B17/12,'Détail fiscalité'!$CI$8:$CI$37)-SUMIF('Détail fiscalité'!$B$8:$B$37,B17/12-1,'Détail fiscalité'!$CI$8:$CI$37)</f>
        <v>0</v>
      </c>
      <c r="O17" s="116">
        <f t="shared" si="5"/>
        <v>-177.26100944540326</v>
      </c>
      <c r="Q17" s="40">
        <f t="shared" si="1"/>
        <v>10</v>
      </c>
      <c r="R17" s="126">
        <f t="shared" si="16"/>
        <v>95873.330037979104</v>
      </c>
      <c r="S17" s="108">
        <f t="shared" si="7"/>
        <v>8820.4022635113761</v>
      </c>
      <c r="T17" s="108">
        <f t="shared" si="8"/>
        <v>1509.9298498334645</v>
      </c>
      <c r="U17" s="108">
        <f t="shared" si="9"/>
        <v>356.80000000000013</v>
      </c>
      <c r="V17" s="54">
        <f t="shared" si="10"/>
        <v>10330.332113344841</v>
      </c>
      <c r="W17" s="126">
        <f t="shared" si="11"/>
        <v>13124.223272212332</v>
      </c>
      <c r="X17" s="108">
        <f t="shared" si="11"/>
        <v>0</v>
      </c>
      <c r="Y17" s="108">
        <f t="shared" si="12"/>
        <v>1640.5279090265415</v>
      </c>
      <c r="Z17" s="108">
        <f t="shared" si="13"/>
        <v>1356.1697381286078</v>
      </c>
      <c r="AA17" s="108">
        <f t="shared" si="14"/>
        <v>656.21116361061661</v>
      </c>
      <c r="AB17" s="108">
        <f t="shared" si="15"/>
        <v>466.16852726843609</v>
      </c>
      <c r="AC17" s="108">
        <f t="shared" ca="1" si="3"/>
        <v>0</v>
      </c>
      <c r="AD17" s="127">
        <f t="shared" ca="1" si="4"/>
        <v>-1325.1861791667088</v>
      </c>
      <c r="AE17" s="42"/>
    </row>
    <row r="18" spans="2:31" x14ac:dyDescent="0.15">
      <c r="B18" s="40">
        <f t="shared" si="0"/>
        <v>11</v>
      </c>
      <c r="C18" s="113">
        <f>IF(B18&lt;=MIN(Simulation!$F$10*12+Simulation!$F$12*OR(Simulation!$F$11="Amortissable différé partiel",Simulation!$F$11="Amortissable différé total"),Simulation!$F$24*12),IF(AND(B18&lt;=Simulation!$F$12,OR(Simulation!$F$11="Amortissable différé partiel",Simulation!$F$11="Amortissable différé total")),C17*(1+(Simulation!$F$11="Amortissable différé total")*Simulation!$F$8/12),C17-D18),0)</f>
        <v>171339.51109131798</v>
      </c>
      <c r="D18" s="114">
        <f>IF(B18&lt;=MIN(Simulation!$F$10*12+Simulation!$F$12*OR(Simulation!$F$11="Amortissable différé partiel",Simulation!$F$11="Amortissable différé total"),Simulation!$F$24*12),G18-E18,0)</f>
        <v>645.87927149189102</v>
      </c>
      <c r="E18" s="114">
        <f>IF(B18&lt;=MIN(Simulation!$F$10*12+Simulation!$F$12*OR(Simulation!$F$11="Amortissable différé partiel",Simulation!$F$11="Amortissable différé total"),Simulation!$F$24*12),IF(AND(B18&lt;=Simulation!$F$12,Simulation!$F$11="Amortissable différé total"),0,C17*Simulation!$F$8/12),0)</f>
        <v>214.98173795351235</v>
      </c>
      <c r="F18" s="114">
        <f>IF(B18&lt;=MIN(Simulation!$F$10*12+Simulation!$F$12*OR(Simulation!$F$11="Amortissable différé partiel",Simulation!$F$11="Amortissable différé total"),Simulation!$F$24*12),Simulation!$E$33*Simulation!$F$9/12,0)</f>
        <v>29.733333333333334</v>
      </c>
      <c r="G18" s="115">
        <f>IF(B18&lt;=MIN(Simulation!$F$10*12+Simulation!$F$12*OR(Simulation!$F$11="Amortissable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partiel",IF(B18&lt;=Simulation!$F$12,Simulation!$E$33*Simulation!$F$8/12,PMT(Simulation!$F$8/12,Simulation!$F$10*12,-Simulation!$E$34)),IF(Simulation!$F$11="Amortissable différé total",IF(B18&lt;=Simulation!$F$12,0,PMT(Simulation!$F$8/12,Simulation!$F$10*12,-Simulation!$E$34)),IF(Simulation!$F$11="In fine",IF(B18=Simulation!$F$10*12,Simulation!$E$34,Simulation!$F$8*Simulation!$E$34/12),0)))),0)</f>
        <v>860.8610094454034</v>
      </c>
      <c r="H18" s="113">
        <f>Simulation!$C$16/12*(1+Simulation!$F$15)^INT((B18-1)/12)*(B18&lt;=Simulation!$F$24*12)</f>
        <v>1000</v>
      </c>
      <c r="I18" s="114">
        <f>(Simulation!$F$22-VLOOKUP(Simulation!$C$27,'Comparatif fiscal'!$B$8:$E$17,4,FALSE)-C18)*(B18=Simulation!$F$24*12)</f>
        <v>0</v>
      </c>
      <c r="J18" s="114">
        <f>(Simulation!$C$21+Simulation!$C$22)/12*(1+Simulation!$F$17)^INT((B18-1)/12)*(B18&lt;=Simulation!$F$24*12)</f>
        <v>125</v>
      </c>
      <c r="K18" s="114">
        <f>(H18*Simulation!$C$24+Simulation!$C$23/12*(1+Simulation!$F$15)^INT((B18-1)/12))*(B18&lt;=Simulation!$F$24*12)</f>
        <v>103.33333333333334</v>
      </c>
      <c r="L18" s="114">
        <f>Simulation!$C$19/12*(1+Simulation!$F$18)^INT((B18-1)/12)*(B18&lt;=Simulation!$F$24*12)</f>
        <v>50</v>
      </c>
      <c r="M18" s="114">
        <f>(Simulation!$C$20/12*(1+Simulation!$F$19)^INT((B18-1)/12)+F18)*(B18&lt;=Simulation!$F$24*12)</f>
        <v>38.06666666666667</v>
      </c>
      <c r="N18" s="114">
        <f>SUMIF('Détail fiscalité'!$B$8:$B$37,INT(B18/12),'Détail fiscalité'!$CI$8:$CI$37)/12+SUMIF('Détail fiscalité'!$B$8:$B$37,B18/12,'Détail fiscalité'!$CI$8:$CI$37)-SUMIF('Détail fiscalité'!$B$8:$B$37,B18/12-1,'Détail fiscalité'!$CI$8:$CI$37)</f>
        <v>0</v>
      </c>
      <c r="O18" s="116">
        <f t="shared" si="5"/>
        <v>-177.26100944540326</v>
      </c>
      <c r="Q18" s="40">
        <f t="shared" si="1"/>
        <v>11</v>
      </c>
      <c r="R18" s="126">
        <f t="shared" si="16"/>
        <v>86919.708335834279</v>
      </c>
      <c r="S18" s="108">
        <f t="shared" si="7"/>
        <v>8953.621702144841</v>
      </c>
      <c r="T18" s="108">
        <f t="shared" si="8"/>
        <v>1376.7104112000002</v>
      </c>
      <c r="U18" s="108">
        <f t="shared" si="9"/>
        <v>356.80000000000013</v>
      </c>
      <c r="V18" s="54">
        <f t="shared" si="10"/>
        <v>10330.332113344841</v>
      </c>
      <c r="W18" s="126">
        <f t="shared" si="11"/>
        <v>13255.465504934453</v>
      </c>
      <c r="X18" s="108">
        <f t="shared" si="11"/>
        <v>0</v>
      </c>
      <c r="Y18" s="108">
        <f t="shared" si="12"/>
        <v>1656.9331881168066</v>
      </c>
      <c r="Z18" s="108">
        <f t="shared" si="13"/>
        <v>1369.731435509894</v>
      </c>
      <c r="AA18" s="108">
        <f t="shared" si="14"/>
        <v>662.77327524672273</v>
      </c>
      <c r="AB18" s="108">
        <f t="shared" si="15"/>
        <v>467.26221254112039</v>
      </c>
      <c r="AC18" s="108">
        <f t="shared" ca="1" si="3"/>
        <v>0</v>
      </c>
      <c r="AD18" s="127">
        <f t="shared" ca="1" si="4"/>
        <v>-1231.5667198249303</v>
      </c>
      <c r="AE18" s="42"/>
    </row>
    <row r="19" spans="2:31" x14ac:dyDescent="0.15">
      <c r="B19" s="40">
        <f t="shared" si="0"/>
        <v>12</v>
      </c>
      <c r="C19" s="113">
        <f>IF(B19&lt;=MIN(Simulation!$F$10*12+Simulation!$F$12*OR(Simulation!$F$11="Amortissable différé partiel",Simulation!$F$11="Amortissable différé total"),Simulation!$F$24*12),IF(AND(B19&lt;=Simulation!$F$12,OR(Simulation!$F$11="Amortissable différé partiel",Simulation!$F$11="Amortissable différé total")),C18*(1+(Simulation!$F$11="Amortissable différé total")*Simulation!$F$8/12),C18-D19),0)</f>
        <v>170692.82447073673</v>
      </c>
      <c r="D19" s="114">
        <f>IF(B19&lt;=MIN(Simulation!$F$10*12+Simulation!$F$12*OR(Simulation!$F$11="Amortissable différé partiel",Simulation!$F$11="Amortissable différé total"),Simulation!$F$24*12),G19-E19,0)</f>
        <v>646.68662058125597</v>
      </c>
      <c r="E19" s="114">
        <f>IF(B19&lt;=MIN(Simulation!$F$10*12+Simulation!$F$12*OR(Simulation!$F$11="Amortissable différé partiel",Simulation!$F$11="Amortissable différé total"),Simulation!$F$24*12),IF(AND(B19&lt;=Simulation!$F$12,Simulation!$F$11="Amortissable différé total"),0,C18*Simulation!$F$8/12),0)</f>
        <v>214.17438886414746</v>
      </c>
      <c r="F19" s="114">
        <f>IF(B19&lt;=MIN(Simulation!$F$10*12+Simulation!$F$12*OR(Simulation!$F$11="Amortissable différé partiel",Simulation!$F$11="Amortissable différé total"),Simulation!$F$24*12),Simulation!$E$33*Simulation!$F$9/12,0)</f>
        <v>29.733333333333334</v>
      </c>
      <c r="G19" s="115">
        <f>IF(B19&lt;=MIN(Simulation!$F$10*12+Simulation!$F$12*OR(Simulation!$F$11="Amortissable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partiel",IF(B19&lt;=Simulation!$F$12,Simulation!$E$33*Simulation!$F$8/12,PMT(Simulation!$F$8/12,Simulation!$F$10*12,-Simulation!$E$34)),IF(Simulation!$F$11="Amortissable différé total",IF(B19&lt;=Simulation!$F$12,0,PMT(Simulation!$F$8/12,Simulation!$F$10*12,-Simulation!$E$34)),IF(Simulation!$F$11="In fine",IF(B19=Simulation!$F$10*12,Simulation!$E$34,Simulation!$F$8*Simulation!$E$34/12),0)))),0)</f>
        <v>860.8610094454034</v>
      </c>
      <c r="H19" s="113">
        <f>Simulation!$C$16/12*(1+Simulation!$F$15)^INT((B19-1)/12)*(B19&lt;=Simulation!$F$24*12)</f>
        <v>1000</v>
      </c>
      <c r="I19" s="114">
        <f>(Simulation!$F$22-VLOOKUP(Simulation!$C$27,'Comparatif fiscal'!$B$8:$E$17,4,FALSE)-C19)*(B19=Simulation!$F$24*12)</f>
        <v>0</v>
      </c>
      <c r="J19" s="114">
        <f>(Simulation!$C$21+Simulation!$C$22)/12*(1+Simulation!$F$17)^INT((B19-1)/12)*(B19&lt;=Simulation!$F$24*12)</f>
        <v>125</v>
      </c>
      <c r="K19" s="114">
        <f>(H19*Simulation!$C$24+Simulation!$C$23/12*(1+Simulation!$F$15)^INT((B19-1)/12))*(B19&lt;=Simulation!$F$24*12)</f>
        <v>103.33333333333334</v>
      </c>
      <c r="L19" s="114">
        <f>Simulation!$C$19/12*(1+Simulation!$F$18)^INT((B19-1)/12)*(B19&lt;=Simulation!$F$24*12)</f>
        <v>50</v>
      </c>
      <c r="M19" s="114">
        <f>(Simulation!$C$20/12*(1+Simulation!$F$19)^INT((B19-1)/12)+F19)*(B19&lt;=Simulation!$F$24*12)</f>
        <v>38.06666666666667</v>
      </c>
      <c r="N19" s="114">
        <f ca="1">SUMIF('Détail fiscalité'!$B$8:$B$37,INT(B19/12),'Détail fiscalité'!$CI$8:$CI$37)/12+SUMIF('Détail fiscalité'!$B$8:$B$37,B19/12,'Détail fiscalité'!$CI$8:$CI$37)-SUMIF('Détail fiscalité'!$B$8:$B$37,B19/12-1,'Détail fiscalité'!$CI$8:$CI$37)</f>
        <v>0</v>
      </c>
      <c r="O19" s="116">
        <f t="shared" ca="1" si="5"/>
        <v>-177.26100944540326</v>
      </c>
      <c r="Q19" s="40">
        <f t="shared" si="1"/>
        <v>12</v>
      </c>
      <c r="R19" s="126">
        <f t="shared" si="16"/>
        <v>77830.855107817799</v>
      </c>
      <c r="S19" s="108">
        <f t="shared" si="7"/>
        <v>9088.8532280164618</v>
      </c>
      <c r="T19" s="108">
        <f t="shared" si="8"/>
        <v>1241.4788853283796</v>
      </c>
      <c r="U19" s="108">
        <f t="shared" si="9"/>
        <v>356.80000000000013</v>
      </c>
      <c r="V19" s="54">
        <f t="shared" si="10"/>
        <v>10330.332113344841</v>
      </c>
      <c r="W19" s="126">
        <f t="shared" si="11"/>
        <v>13388.020159983795</v>
      </c>
      <c r="X19" s="108">
        <f t="shared" si="11"/>
        <v>98824.45739266483</v>
      </c>
      <c r="Y19" s="108">
        <f t="shared" si="12"/>
        <v>1673.5025199979743</v>
      </c>
      <c r="Z19" s="108">
        <f t="shared" si="13"/>
        <v>1383.4287498649921</v>
      </c>
      <c r="AA19" s="108">
        <f t="shared" si="14"/>
        <v>669.40100799918991</v>
      </c>
      <c r="AB19" s="108">
        <f t="shared" si="15"/>
        <v>468.36683466653153</v>
      </c>
      <c r="AC19" s="108">
        <f t="shared" ca="1" si="3"/>
        <v>0</v>
      </c>
      <c r="AD19" s="127">
        <f t="shared" ca="1" si="4"/>
        <v>97687.446326775098</v>
      </c>
      <c r="AE19" s="42"/>
    </row>
    <row r="20" spans="2:31" x14ac:dyDescent="0.15">
      <c r="B20" s="40">
        <f t="shared" si="0"/>
        <v>13</v>
      </c>
      <c r="C20" s="113">
        <f>IF(B20&lt;=MIN(Simulation!$F$10*12+Simulation!$F$12*OR(Simulation!$F$11="Amortissable différé partiel",Simulation!$F$11="Amortissable différé total"),Simulation!$F$24*12),IF(AND(B20&lt;=Simulation!$F$12,OR(Simulation!$F$11="Amortissable différé partiel",Simulation!$F$11="Amortissable différé total")),C19*(1+(Simulation!$F$11="Amortissable différé total")*Simulation!$F$8/12),C19-D20),0)</f>
        <v>170045.32949187973</v>
      </c>
      <c r="D20" s="114">
        <f>IF(B20&lt;=MIN(Simulation!$F$10*12+Simulation!$F$12*OR(Simulation!$F$11="Amortissable différé partiel",Simulation!$F$11="Amortissable différé total"),Simulation!$F$24*12),G20-E20,0)</f>
        <v>647.49497885698247</v>
      </c>
      <c r="E20" s="114">
        <f>IF(B20&lt;=MIN(Simulation!$F$10*12+Simulation!$F$12*OR(Simulation!$F$11="Amortissable différé partiel",Simulation!$F$11="Amortissable différé total"),Simulation!$F$24*12),IF(AND(B20&lt;=Simulation!$F$12,Simulation!$F$11="Amortissable différé total"),0,C19*Simulation!$F$8/12),0)</f>
        <v>213.3660305884209</v>
      </c>
      <c r="F20" s="114">
        <f>IF(B20&lt;=MIN(Simulation!$F$10*12+Simulation!$F$12*OR(Simulation!$F$11="Amortissable différé partiel",Simulation!$F$11="Amortissable différé total"),Simulation!$F$24*12),Simulation!$E$33*Simulation!$F$9/12,0)</f>
        <v>29.733333333333334</v>
      </c>
      <c r="G20" s="115">
        <f>IF(B20&lt;=MIN(Simulation!$F$10*12+Simulation!$F$12*OR(Simulation!$F$11="Amortissable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partiel",IF(B20&lt;=Simulation!$F$12,Simulation!$E$33*Simulation!$F$8/12,PMT(Simulation!$F$8/12,Simulation!$F$10*12,-Simulation!$E$34)),IF(Simulation!$F$11="Amortissable différé total",IF(B20&lt;=Simulation!$F$12,0,PMT(Simulation!$F$8/12,Simulation!$F$10*12,-Simulation!$E$34)),IF(Simulation!$F$11="In fine",IF(B20=Simulation!$F$10*12,Simulation!$E$34,Simulation!$F$8*Simulation!$E$34/12),0)))),0)</f>
        <v>860.8610094454034</v>
      </c>
      <c r="H20" s="113">
        <f>Simulation!$C$16/12*(1+Simulation!$F$15)^INT((B20-1)/12)*(B20&lt;=Simulation!$F$24*12)</f>
        <v>1010</v>
      </c>
      <c r="I20" s="114">
        <f>(Simulation!$F$22-VLOOKUP(Simulation!$C$27,'Comparatif fiscal'!$B$8:$E$17,4,FALSE)-C20)*(B20=Simulation!$F$24*12)</f>
        <v>0</v>
      </c>
      <c r="J20" s="114">
        <f>(Simulation!$C$21+Simulation!$C$22)/12*(1+Simulation!$F$17)^INT((B20-1)/12)*(B20&lt;=Simulation!$F$24*12)</f>
        <v>126.25</v>
      </c>
      <c r="K20" s="114">
        <f>(H20*Simulation!$C$24+Simulation!$C$23/12*(1+Simulation!$F$15)^INT((B20-1)/12))*(B20&lt;=Simulation!$F$24*12)</f>
        <v>104.36666666666667</v>
      </c>
      <c r="L20" s="114">
        <f>Simulation!$C$19/12*(1+Simulation!$F$18)^INT((B20-1)/12)*(B20&lt;=Simulation!$F$24*12)</f>
        <v>50.5</v>
      </c>
      <c r="M20" s="114">
        <f>(Simulation!$C$20/12*(1+Simulation!$F$19)^INT((B20-1)/12)+F20)*(B20&lt;=Simulation!$F$24*12)</f>
        <v>38.150000000000006</v>
      </c>
      <c r="N20" s="114">
        <f ca="1">SUMIF('Détail fiscalité'!$B$8:$B$37,INT(B20/12),'Détail fiscalité'!$CI$8:$CI$37)/12+SUMIF('Détail fiscalité'!$B$8:$B$37,B20/12,'Détail fiscalité'!$CI$8:$CI$37)-SUMIF('Détail fiscalité'!$B$8:$B$37,B20/12-1,'Détail fiscalité'!$CI$8:$CI$37)</f>
        <v>0</v>
      </c>
      <c r="O20" s="116">
        <f t="shared" ca="1" si="5"/>
        <v>-170.12767611207028</v>
      </c>
      <c r="Q20" s="40">
        <f t="shared" si="1"/>
        <v>13</v>
      </c>
      <c r="R20" s="126">
        <f t="shared" si="16"/>
        <v>0</v>
      </c>
      <c r="S20" s="108">
        <f t="shared" si="7"/>
        <v>0</v>
      </c>
      <c r="T20" s="108">
        <f t="shared" si="8"/>
        <v>0</v>
      </c>
      <c r="U20" s="108">
        <f t="shared" si="9"/>
        <v>0</v>
      </c>
      <c r="V20" s="54">
        <f t="shared" si="10"/>
        <v>0</v>
      </c>
      <c r="W20" s="126">
        <f t="shared" si="11"/>
        <v>0</v>
      </c>
      <c r="X20" s="108">
        <f t="shared" si="11"/>
        <v>0</v>
      </c>
      <c r="Y20" s="108">
        <f t="shared" si="12"/>
        <v>0</v>
      </c>
      <c r="Z20" s="108">
        <f t="shared" si="13"/>
        <v>0</v>
      </c>
      <c r="AA20" s="108">
        <f t="shared" si="14"/>
        <v>0</v>
      </c>
      <c r="AB20" s="108">
        <f t="shared" si="15"/>
        <v>0</v>
      </c>
      <c r="AC20" s="108">
        <f t="shared" ca="1" si="3"/>
        <v>0</v>
      </c>
      <c r="AD20" s="127">
        <f t="shared" ca="1" si="4"/>
        <v>0</v>
      </c>
      <c r="AE20" s="42"/>
    </row>
    <row r="21" spans="2:31" x14ac:dyDescent="0.15">
      <c r="B21" s="40">
        <f t="shared" si="0"/>
        <v>14</v>
      </c>
      <c r="C21" s="113">
        <f>IF(B21&lt;=MIN(Simulation!$F$10*12+Simulation!$F$12*OR(Simulation!$F$11="Amortissable différé partiel",Simulation!$F$11="Amortissable différé total"),Simulation!$F$24*12),IF(AND(B21&lt;=Simulation!$F$12,OR(Simulation!$F$11="Amortissable différé partiel",Simulation!$F$11="Amortissable différé total")),C20*(1+(Simulation!$F$11="Amortissable différé total")*Simulation!$F$8/12),C20-D21),0)</f>
        <v>169397.02514429917</v>
      </c>
      <c r="D21" s="114">
        <f>IF(B21&lt;=MIN(Simulation!$F$10*12+Simulation!$F$12*OR(Simulation!$F$11="Amortissable différé partiel",Simulation!$F$11="Amortissable différé total"),Simulation!$F$24*12),G21-E21,0)</f>
        <v>648.30434758055378</v>
      </c>
      <c r="E21" s="114">
        <f>IF(B21&lt;=MIN(Simulation!$F$10*12+Simulation!$F$12*OR(Simulation!$F$11="Amortissable différé partiel",Simulation!$F$11="Amortissable différé total"),Simulation!$F$24*12),IF(AND(B21&lt;=Simulation!$F$12,Simulation!$F$11="Amortissable différé total"),0,C20*Simulation!$F$8/12),0)</f>
        <v>212.55666186484964</v>
      </c>
      <c r="F21" s="114">
        <f>IF(B21&lt;=MIN(Simulation!$F$10*12+Simulation!$F$12*OR(Simulation!$F$11="Amortissable différé partiel",Simulation!$F$11="Amortissable différé total"),Simulation!$F$24*12),Simulation!$E$33*Simulation!$F$9/12,0)</f>
        <v>29.733333333333334</v>
      </c>
      <c r="G21" s="115">
        <f>IF(B21&lt;=MIN(Simulation!$F$10*12+Simulation!$F$12*OR(Simulation!$F$11="Amortissable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partiel",IF(B21&lt;=Simulation!$F$12,Simulation!$E$33*Simulation!$F$8/12,PMT(Simulation!$F$8/12,Simulation!$F$10*12,-Simulation!$E$34)),IF(Simulation!$F$11="Amortissable différé total",IF(B21&lt;=Simulation!$F$12,0,PMT(Simulation!$F$8/12,Simulation!$F$10*12,-Simulation!$E$34)),IF(Simulation!$F$11="In fine",IF(B21=Simulation!$F$10*12,Simulation!$E$34,Simulation!$F$8*Simulation!$E$34/12),0)))),0)</f>
        <v>860.8610094454034</v>
      </c>
      <c r="H21" s="113">
        <f>Simulation!$C$16/12*(1+Simulation!$F$15)^INT((B21-1)/12)*(B21&lt;=Simulation!$F$24*12)</f>
        <v>1010</v>
      </c>
      <c r="I21" s="114">
        <f>(Simulation!$F$22-VLOOKUP(Simulation!$C$27,'Comparatif fiscal'!$B$8:$E$17,4,FALSE)-C21)*(B21=Simulation!$F$24*12)</f>
        <v>0</v>
      </c>
      <c r="J21" s="114">
        <f>(Simulation!$C$21+Simulation!$C$22)/12*(1+Simulation!$F$17)^INT((B21-1)/12)*(B21&lt;=Simulation!$F$24*12)</f>
        <v>126.25</v>
      </c>
      <c r="K21" s="114">
        <f>(H21*Simulation!$C$24+Simulation!$C$23/12*(1+Simulation!$F$15)^INT((B21-1)/12))*(B21&lt;=Simulation!$F$24*12)</f>
        <v>104.36666666666667</v>
      </c>
      <c r="L21" s="114">
        <f>Simulation!$C$19/12*(1+Simulation!$F$18)^INT((B21-1)/12)*(B21&lt;=Simulation!$F$24*12)</f>
        <v>50.5</v>
      </c>
      <c r="M21" s="114">
        <f>(Simulation!$C$20/12*(1+Simulation!$F$19)^INT((B21-1)/12)+F21)*(B21&lt;=Simulation!$F$24*12)</f>
        <v>38.150000000000006</v>
      </c>
      <c r="N21" s="114">
        <f ca="1">SUMIF('Détail fiscalité'!$B$8:$B$37,INT(B21/12),'Détail fiscalité'!$CI$8:$CI$37)/12+SUMIF('Détail fiscalité'!$B$8:$B$37,B21/12,'Détail fiscalité'!$CI$8:$CI$37)-SUMIF('Détail fiscalité'!$B$8:$B$37,B21/12-1,'Détail fiscalité'!$CI$8:$CI$37)</f>
        <v>0</v>
      </c>
      <c r="O21" s="116">
        <f t="shared" ca="1" si="5"/>
        <v>-170.12767611207028</v>
      </c>
      <c r="Q21" s="40">
        <f t="shared" si="1"/>
        <v>14</v>
      </c>
      <c r="R21" s="126">
        <f t="shared" si="16"/>
        <v>0</v>
      </c>
      <c r="S21" s="108">
        <f t="shared" si="7"/>
        <v>0</v>
      </c>
      <c r="T21" s="108">
        <f t="shared" si="8"/>
        <v>0</v>
      </c>
      <c r="U21" s="108">
        <f t="shared" si="9"/>
        <v>0</v>
      </c>
      <c r="V21" s="54">
        <f t="shared" si="10"/>
        <v>0</v>
      </c>
      <c r="W21" s="126">
        <f t="shared" si="11"/>
        <v>0</v>
      </c>
      <c r="X21" s="108">
        <f t="shared" si="11"/>
        <v>0</v>
      </c>
      <c r="Y21" s="108">
        <f t="shared" si="12"/>
        <v>0</v>
      </c>
      <c r="Z21" s="108">
        <f t="shared" si="13"/>
        <v>0</v>
      </c>
      <c r="AA21" s="108">
        <f t="shared" si="14"/>
        <v>0</v>
      </c>
      <c r="AB21" s="108">
        <f t="shared" si="15"/>
        <v>0</v>
      </c>
      <c r="AC21" s="108">
        <f t="shared" ca="1" si="3"/>
        <v>0</v>
      </c>
      <c r="AD21" s="127">
        <f t="shared" ca="1" si="4"/>
        <v>0</v>
      </c>
      <c r="AE21" s="42"/>
    </row>
    <row r="22" spans="2:31" x14ac:dyDescent="0.15">
      <c r="B22" s="40">
        <f t="shared" si="0"/>
        <v>15</v>
      </c>
      <c r="C22" s="113">
        <f>IF(B22&lt;=MIN(Simulation!$F$10*12+Simulation!$F$12*OR(Simulation!$F$11="Amortissable différé partiel",Simulation!$F$11="Amortissable différé total"),Simulation!$F$24*12),IF(AND(B22&lt;=Simulation!$F$12,OR(Simulation!$F$11="Amortissable différé partiel",Simulation!$F$11="Amortissable différé total")),C21*(1+(Simulation!$F$11="Amortissable différé total")*Simulation!$F$8/12),C21-D22),0)</f>
        <v>168747.91041628414</v>
      </c>
      <c r="D22" s="114">
        <f>IF(B22&lt;=MIN(Simulation!$F$10*12+Simulation!$F$12*OR(Simulation!$F$11="Amortissable différé partiel",Simulation!$F$11="Amortissable différé total"),Simulation!$F$24*12),G22-E22,0)</f>
        <v>649.11472801502941</v>
      </c>
      <c r="E22" s="114">
        <f>IF(B22&lt;=MIN(Simulation!$F$10*12+Simulation!$F$12*OR(Simulation!$F$11="Amortissable différé partiel",Simulation!$F$11="Amortissable différé total"),Simulation!$F$24*12),IF(AND(B22&lt;=Simulation!$F$12,Simulation!$F$11="Amortissable différé total"),0,C21*Simulation!$F$8/12),0)</f>
        <v>211.74628143037395</v>
      </c>
      <c r="F22" s="114">
        <f>IF(B22&lt;=MIN(Simulation!$F$10*12+Simulation!$F$12*OR(Simulation!$F$11="Amortissable différé partiel",Simulation!$F$11="Amortissable différé total"),Simulation!$F$24*12),Simulation!$E$33*Simulation!$F$9/12,0)</f>
        <v>29.733333333333334</v>
      </c>
      <c r="G22" s="115">
        <f>IF(B22&lt;=MIN(Simulation!$F$10*12+Simulation!$F$12*OR(Simulation!$F$11="Amortissable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partiel",IF(B22&lt;=Simulation!$F$12,Simulation!$E$33*Simulation!$F$8/12,PMT(Simulation!$F$8/12,Simulation!$F$10*12,-Simulation!$E$34)),IF(Simulation!$F$11="Amortissable différé total",IF(B22&lt;=Simulation!$F$12,0,PMT(Simulation!$F$8/12,Simulation!$F$10*12,-Simulation!$E$34)),IF(Simulation!$F$11="In fine",IF(B22=Simulation!$F$10*12,Simulation!$E$34,Simulation!$F$8*Simulation!$E$34/12),0)))),0)</f>
        <v>860.8610094454034</v>
      </c>
      <c r="H22" s="113">
        <f>Simulation!$C$16/12*(1+Simulation!$F$15)^INT((B22-1)/12)*(B22&lt;=Simulation!$F$24*12)</f>
        <v>1010</v>
      </c>
      <c r="I22" s="114">
        <f>(Simulation!$F$22-VLOOKUP(Simulation!$C$27,'Comparatif fiscal'!$B$8:$E$17,4,FALSE)-C22)*(B22=Simulation!$F$24*12)</f>
        <v>0</v>
      </c>
      <c r="J22" s="114">
        <f>(Simulation!$C$21+Simulation!$C$22)/12*(1+Simulation!$F$17)^INT((B22-1)/12)*(B22&lt;=Simulation!$F$24*12)</f>
        <v>126.25</v>
      </c>
      <c r="K22" s="114">
        <f>(H22*Simulation!$C$24+Simulation!$C$23/12*(1+Simulation!$F$15)^INT((B22-1)/12))*(B22&lt;=Simulation!$F$24*12)</f>
        <v>104.36666666666667</v>
      </c>
      <c r="L22" s="114">
        <f>Simulation!$C$19/12*(1+Simulation!$F$18)^INT((B22-1)/12)*(B22&lt;=Simulation!$F$24*12)</f>
        <v>50.5</v>
      </c>
      <c r="M22" s="114">
        <f>(Simulation!$C$20/12*(1+Simulation!$F$19)^INT((B22-1)/12)+F22)*(B22&lt;=Simulation!$F$24*12)</f>
        <v>38.150000000000006</v>
      </c>
      <c r="N22" s="114">
        <f ca="1">SUMIF('Détail fiscalité'!$B$8:$B$37,INT(B22/12),'Détail fiscalité'!$CI$8:$CI$37)/12+SUMIF('Détail fiscalité'!$B$8:$B$37,B22/12,'Détail fiscalité'!$CI$8:$CI$37)-SUMIF('Détail fiscalité'!$B$8:$B$37,B22/12-1,'Détail fiscalité'!$CI$8:$CI$37)</f>
        <v>0</v>
      </c>
      <c r="O22" s="116">
        <f t="shared" ca="1" si="5"/>
        <v>-170.12767611207028</v>
      </c>
      <c r="Q22" s="40">
        <f t="shared" si="1"/>
        <v>15</v>
      </c>
      <c r="R22" s="126">
        <f t="shared" si="16"/>
        <v>0</v>
      </c>
      <c r="S22" s="108">
        <f t="shared" si="7"/>
        <v>0</v>
      </c>
      <c r="T22" s="108">
        <f t="shared" si="8"/>
        <v>0</v>
      </c>
      <c r="U22" s="108">
        <f t="shared" si="9"/>
        <v>0</v>
      </c>
      <c r="V22" s="54">
        <f t="shared" si="10"/>
        <v>0</v>
      </c>
      <c r="W22" s="126">
        <f t="shared" si="11"/>
        <v>0</v>
      </c>
      <c r="X22" s="108">
        <f t="shared" si="11"/>
        <v>0</v>
      </c>
      <c r="Y22" s="108">
        <f t="shared" si="12"/>
        <v>0</v>
      </c>
      <c r="Z22" s="108">
        <f t="shared" si="13"/>
        <v>0</v>
      </c>
      <c r="AA22" s="108">
        <f t="shared" si="14"/>
        <v>0</v>
      </c>
      <c r="AB22" s="108">
        <f t="shared" si="15"/>
        <v>0</v>
      </c>
      <c r="AC22" s="108">
        <f t="shared" ca="1" si="3"/>
        <v>0</v>
      </c>
      <c r="AD22" s="127">
        <f t="shared" ca="1" si="4"/>
        <v>0</v>
      </c>
      <c r="AE22" s="42"/>
    </row>
    <row r="23" spans="2:31" x14ac:dyDescent="0.15">
      <c r="B23" s="40">
        <f t="shared" si="0"/>
        <v>16</v>
      </c>
      <c r="C23" s="113">
        <f>IF(B23&lt;=MIN(Simulation!$F$10*12+Simulation!$F$12*OR(Simulation!$F$11="Amortissable différé partiel",Simulation!$F$11="Amortissable différé total"),Simulation!$F$24*12),IF(AND(B23&lt;=Simulation!$F$12,OR(Simulation!$F$11="Amortissable différé partiel",Simulation!$F$11="Amortissable différé total")),C22*(1+(Simulation!$F$11="Amortissable différé total")*Simulation!$F$8/12),C22-D23),0)</f>
        <v>168097.98429485908</v>
      </c>
      <c r="D23" s="114">
        <f>IF(B23&lt;=MIN(Simulation!$F$10*12+Simulation!$F$12*OR(Simulation!$F$11="Amortissable différé partiel",Simulation!$F$11="Amortissable différé total"),Simulation!$F$24*12),G23-E23,0)</f>
        <v>649.92612142504822</v>
      </c>
      <c r="E23" s="114">
        <f>IF(B23&lt;=MIN(Simulation!$F$10*12+Simulation!$F$12*OR(Simulation!$F$11="Amortissable différé partiel",Simulation!$F$11="Amortissable différé total"),Simulation!$F$24*12),IF(AND(B23&lt;=Simulation!$F$12,Simulation!$F$11="Amortissable différé total"),0,C22*Simulation!$F$8/12),0)</f>
        <v>210.93488802035517</v>
      </c>
      <c r="F23" s="114">
        <f>IF(B23&lt;=MIN(Simulation!$F$10*12+Simulation!$F$12*OR(Simulation!$F$11="Amortissable différé partiel",Simulation!$F$11="Amortissable différé total"),Simulation!$F$24*12),Simulation!$E$33*Simulation!$F$9/12,0)</f>
        <v>29.733333333333334</v>
      </c>
      <c r="G23" s="115">
        <f>IF(B23&lt;=MIN(Simulation!$F$10*12+Simulation!$F$12*OR(Simulation!$F$11="Amortissable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partiel",IF(B23&lt;=Simulation!$F$12,Simulation!$E$33*Simulation!$F$8/12,PMT(Simulation!$F$8/12,Simulation!$F$10*12,-Simulation!$E$34)),IF(Simulation!$F$11="Amortissable différé total",IF(B23&lt;=Simulation!$F$12,0,PMT(Simulation!$F$8/12,Simulation!$F$10*12,-Simulation!$E$34)),IF(Simulation!$F$11="In fine",IF(B23=Simulation!$F$10*12,Simulation!$E$34,Simulation!$F$8*Simulation!$E$34/12),0)))),0)</f>
        <v>860.8610094454034</v>
      </c>
      <c r="H23" s="113">
        <f>Simulation!$C$16/12*(1+Simulation!$F$15)^INT((B23-1)/12)*(B23&lt;=Simulation!$F$24*12)</f>
        <v>1010</v>
      </c>
      <c r="I23" s="114">
        <f>(Simulation!$F$22-VLOOKUP(Simulation!$C$27,'Comparatif fiscal'!$B$8:$E$17,4,FALSE)-C23)*(B23=Simulation!$F$24*12)</f>
        <v>0</v>
      </c>
      <c r="J23" s="114">
        <f>(Simulation!$C$21+Simulation!$C$22)/12*(1+Simulation!$F$17)^INT((B23-1)/12)*(B23&lt;=Simulation!$F$24*12)</f>
        <v>126.25</v>
      </c>
      <c r="K23" s="114">
        <f>(H23*Simulation!$C$24+Simulation!$C$23/12*(1+Simulation!$F$15)^INT((B23-1)/12))*(B23&lt;=Simulation!$F$24*12)</f>
        <v>104.36666666666667</v>
      </c>
      <c r="L23" s="114">
        <f>Simulation!$C$19/12*(1+Simulation!$F$18)^INT((B23-1)/12)*(B23&lt;=Simulation!$F$24*12)</f>
        <v>50.5</v>
      </c>
      <c r="M23" s="114">
        <f>(Simulation!$C$20/12*(1+Simulation!$F$19)^INT((B23-1)/12)+F23)*(B23&lt;=Simulation!$F$24*12)</f>
        <v>38.150000000000006</v>
      </c>
      <c r="N23" s="114">
        <f ca="1">SUMIF('Détail fiscalité'!$B$8:$B$37,INT(B23/12),'Détail fiscalité'!$CI$8:$CI$37)/12+SUMIF('Détail fiscalité'!$B$8:$B$37,B23/12,'Détail fiscalité'!$CI$8:$CI$37)-SUMIF('Détail fiscalité'!$B$8:$B$37,B23/12-1,'Détail fiscalité'!$CI$8:$CI$37)</f>
        <v>0</v>
      </c>
      <c r="O23" s="116">
        <f t="shared" ca="1" si="5"/>
        <v>-170.12767611207028</v>
      </c>
      <c r="Q23" s="40">
        <f t="shared" si="1"/>
        <v>16</v>
      </c>
      <c r="R23" s="126">
        <f t="shared" si="16"/>
        <v>0</v>
      </c>
      <c r="S23" s="108">
        <f t="shared" si="7"/>
        <v>0</v>
      </c>
      <c r="T23" s="108">
        <f t="shared" si="8"/>
        <v>0</v>
      </c>
      <c r="U23" s="108">
        <f t="shared" si="9"/>
        <v>0</v>
      </c>
      <c r="V23" s="54">
        <f t="shared" si="10"/>
        <v>0</v>
      </c>
      <c r="W23" s="126">
        <f t="shared" si="11"/>
        <v>0</v>
      </c>
      <c r="X23" s="108">
        <f t="shared" si="11"/>
        <v>0</v>
      </c>
      <c r="Y23" s="108">
        <f t="shared" si="12"/>
        <v>0</v>
      </c>
      <c r="Z23" s="108">
        <f t="shared" si="13"/>
        <v>0</v>
      </c>
      <c r="AA23" s="108">
        <f t="shared" si="14"/>
        <v>0</v>
      </c>
      <c r="AB23" s="108">
        <f t="shared" si="15"/>
        <v>0</v>
      </c>
      <c r="AC23" s="108">
        <f t="shared" ca="1" si="3"/>
        <v>0</v>
      </c>
      <c r="AD23" s="127">
        <f t="shared" ca="1" si="4"/>
        <v>0</v>
      </c>
      <c r="AE23" s="42"/>
    </row>
    <row r="24" spans="2:31" x14ac:dyDescent="0.15">
      <c r="B24" s="40">
        <f t="shared" si="0"/>
        <v>17</v>
      </c>
      <c r="C24" s="113">
        <f>IF(B24&lt;=MIN(Simulation!$F$10*12+Simulation!$F$12*OR(Simulation!$F$11="Amortissable différé partiel",Simulation!$F$11="Amortissable différé total"),Simulation!$F$24*12),IF(AND(B24&lt;=Simulation!$F$12,OR(Simulation!$F$11="Amortissable différé partiel",Simulation!$F$11="Amortissable différé total")),C23*(1+(Simulation!$F$11="Amortissable différé total")*Simulation!$F$8/12),C23-D24),0)</f>
        <v>167447.24576578225</v>
      </c>
      <c r="D24" s="114">
        <f>IF(B24&lt;=MIN(Simulation!$F$10*12+Simulation!$F$12*OR(Simulation!$F$11="Amortissable différé partiel",Simulation!$F$11="Amortissable différé total"),Simulation!$F$24*12),G24-E24,0)</f>
        <v>650.73852907682954</v>
      </c>
      <c r="E24" s="114">
        <f>IF(B24&lt;=MIN(Simulation!$F$10*12+Simulation!$F$12*OR(Simulation!$F$11="Amortissable différé partiel",Simulation!$F$11="Amortissable différé total"),Simulation!$F$24*12),IF(AND(B24&lt;=Simulation!$F$12,Simulation!$F$11="Amortissable différé total"),0,C23*Simulation!$F$8/12),0)</f>
        <v>210.12248036857386</v>
      </c>
      <c r="F24" s="114">
        <f>IF(B24&lt;=MIN(Simulation!$F$10*12+Simulation!$F$12*OR(Simulation!$F$11="Amortissable différé partiel",Simulation!$F$11="Amortissable différé total"),Simulation!$F$24*12),Simulation!$E$33*Simulation!$F$9/12,0)</f>
        <v>29.733333333333334</v>
      </c>
      <c r="G24" s="115">
        <f>IF(B24&lt;=MIN(Simulation!$F$10*12+Simulation!$F$12*OR(Simulation!$F$11="Amortissable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partiel",IF(B24&lt;=Simulation!$F$12,Simulation!$E$33*Simulation!$F$8/12,PMT(Simulation!$F$8/12,Simulation!$F$10*12,-Simulation!$E$34)),IF(Simulation!$F$11="Amortissable différé total",IF(B24&lt;=Simulation!$F$12,0,PMT(Simulation!$F$8/12,Simulation!$F$10*12,-Simulation!$E$34)),IF(Simulation!$F$11="In fine",IF(B24=Simulation!$F$10*12,Simulation!$E$34,Simulation!$F$8*Simulation!$E$34/12),0)))),0)</f>
        <v>860.8610094454034</v>
      </c>
      <c r="H24" s="113">
        <f>Simulation!$C$16/12*(1+Simulation!$F$15)^INT((B24-1)/12)*(B24&lt;=Simulation!$F$24*12)</f>
        <v>1010</v>
      </c>
      <c r="I24" s="114">
        <f>(Simulation!$F$22-VLOOKUP(Simulation!$C$27,'Comparatif fiscal'!$B$8:$E$17,4,FALSE)-C24)*(B24=Simulation!$F$24*12)</f>
        <v>0</v>
      </c>
      <c r="J24" s="114">
        <f>(Simulation!$C$21+Simulation!$C$22)/12*(1+Simulation!$F$17)^INT((B24-1)/12)*(B24&lt;=Simulation!$F$24*12)</f>
        <v>126.25</v>
      </c>
      <c r="K24" s="114">
        <f>(H24*Simulation!$C$24+Simulation!$C$23/12*(1+Simulation!$F$15)^INT((B24-1)/12))*(B24&lt;=Simulation!$F$24*12)</f>
        <v>104.36666666666667</v>
      </c>
      <c r="L24" s="114">
        <f>Simulation!$C$19/12*(1+Simulation!$F$18)^INT((B24-1)/12)*(B24&lt;=Simulation!$F$24*12)</f>
        <v>50.5</v>
      </c>
      <c r="M24" s="114">
        <f>(Simulation!$C$20/12*(1+Simulation!$F$19)^INT((B24-1)/12)+F24)*(B24&lt;=Simulation!$F$24*12)</f>
        <v>38.150000000000006</v>
      </c>
      <c r="N24" s="114">
        <f ca="1">SUMIF('Détail fiscalité'!$B$8:$B$37,INT(B24/12),'Détail fiscalité'!$CI$8:$CI$37)/12+SUMIF('Détail fiscalité'!$B$8:$B$37,B24/12,'Détail fiscalité'!$CI$8:$CI$37)-SUMIF('Détail fiscalité'!$B$8:$B$37,B24/12-1,'Détail fiscalité'!$CI$8:$CI$37)</f>
        <v>0</v>
      </c>
      <c r="O24" s="116">
        <f t="shared" ca="1" si="5"/>
        <v>-170.12767611207028</v>
      </c>
      <c r="Q24" s="40">
        <f t="shared" si="1"/>
        <v>17</v>
      </c>
      <c r="R24" s="126">
        <f t="shared" si="16"/>
        <v>0</v>
      </c>
      <c r="S24" s="108">
        <f t="shared" si="7"/>
        <v>0</v>
      </c>
      <c r="T24" s="108">
        <f t="shared" si="8"/>
        <v>0</v>
      </c>
      <c r="U24" s="108">
        <f t="shared" si="9"/>
        <v>0</v>
      </c>
      <c r="V24" s="54">
        <f t="shared" si="10"/>
        <v>0</v>
      </c>
      <c r="W24" s="126">
        <f t="shared" si="11"/>
        <v>0</v>
      </c>
      <c r="X24" s="108">
        <f t="shared" si="11"/>
        <v>0</v>
      </c>
      <c r="Y24" s="108">
        <f t="shared" si="12"/>
        <v>0</v>
      </c>
      <c r="Z24" s="108">
        <f t="shared" si="13"/>
        <v>0</v>
      </c>
      <c r="AA24" s="108">
        <f t="shared" si="14"/>
        <v>0</v>
      </c>
      <c r="AB24" s="108">
        <f t="shared" si="15"/>
        <v>0</v>
      </c>
      <c r="AC24" s="108">
        <f t="shared" ca="1" si="3"/>
        <v>0</v>
      </c>
      <c r="AD24" s="127">
        <f t="shared" ca="1" si="4"/>
        <v>0</v>
      </c>
      <c r="AE24" s="42"/>
    </row>
    <row r="25" spans="2:31" x14ac:dyDescent="0.15">
      <c r="B25" s="40">
        <f t="shared" si="0"/>
        <v>18</v>
      </c>
      <c r="C25" s="113">
        <f>IF(B25&lt;=MIN(Simulation!$F$10*12+Simulation!$F$12*OR(Simulation!$F$11="Amortissable différé partiel",Simulation!$F$11="Amortissable différé total"),Simulation!$F$24*12),IF(AND(B25&lt;=Simulation!$F$12,OR(Simulation!$F$11="Amortissable différé partiel",Simulation!$F$11="Amortissable différé total")),C24*(1+(Simulation!$F$11="Amortissable différé total")*Simulation!$F$8/12),C24-D25),0)</f>
        <v>166795.69381354409</v>
      </c>
      <c r="D25" s="114">
        <f>IF(B25&lt;=MIN(Simulation!$F$10*12+Simulation!$F$12*OR(Simulation!$F$11="Amortissable différé partiel",Simulation!$F$11="Amortissable différé total"),Simulation!$F$24*12),G25-E25,0)</f>
        <v>651.55195223817555</v>
      </c>
      <c r="E25" s="114">
        <f>IF(B25&lt;=MIN(Simulation!$F$10*12+Simulation!$F$12*OR(Simulation!$F$11="Amortissable différé partiel",Simulation!$F$11="Amortissable différé total"),Simulation!$F$24*12),IF(AND(B25&lt;=Simulation!$F$12,Simulation!$F$11="Amortissable différé total"),0,C24*Simulation!$F$8/12),0)</f>
        <v>209.30905720722782</v>
      </c>
      <c r="F25" s="114">
        <f>IF(B25&lt;=MIN(Simulation!$F$10*12+Simulation!$F$12*OR(Simulation!$F$11="Amortissable différé partiel",Simulation!$F$11="Amortissable différé total"),Simulation!$F$24*12),Simulation!$E$33*Simulation!$F$9/12,0)</f>
        <v>29.733333333333334</v>
      </c>
      <c r="G25" s="115">
        <f>IF(B25&lt;=MIN(Simulation!$F$10*12+Simulation!$F$12*OR(Simulation!$F$11="Amortissable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partiel",IF(B25&lt;=Simulation!$F$12,Simulation!$E$33*Simulation!$F$8/12,PMT(Simulation!$F$8/12,Simulation!$F$10*12,-Simulation!$E$34)),IF(Simulation!$F$11="Amortissable différé total",IF(B25&lt;=Simulation!$F$12,0,PMT(Simulation!$F$8/12,Simulation!$F$10*12,-Simulation!$E$34)),IF(Simulation!$F$11="In fine",IF(B25=Simulation!$F$10*12,Simulation!$E$34,Simulation!$F$8*Simulation!$E$34/12),0)))),0)</f>
        <v>860.8610094454034</v>
      </c>
      <c r="H25" s="113">
        <f>Simulation!$C$16/12*(1+Simulation!$F$15)^INT((B25-1)/12)*(B25&lt;=Simulation!$F$24*12)</f>
        <v>1010</v>
      </c>
      <c r="I25" s="114">
        <f>(Simulation!$F$22-VLOOKUP(Simulation!$C$27,'Comparatif fiscal'!$B$8:$E$17,4,FALSE)-C25)*(B25=Simulation!$F$24*12)</f>
        <v>0</v>
      </c>
      <c r="J25" s="114">
        <f>(Simulation!$C$21+Simulation!$C$22)/12*(1+Simulation!$F$17)^INT((B25-1)/12)*(B25&lt;=Simulation!$F$24*12)</f>
        <v>126.25</v>
      </c>
      <c r="K25" s="114">
        <f>(H25*Simulation!$C$24+Simulation!$C$23/12*(1+Simulation!$F$15)^INT((B25-1)/12))*(B25&lt;=Simulation!$F$24*12)</f>
        <v>104.36666666666667</v>
      </c>
      <c r="L25" s="114">
        <f>Simulation!$C$19/12*(1+Simulation!$F$18)^INT((B25-1)/12)*(B25&lt;=Simulation!$F$24*12)</f>
        <v>50.5</v>
      </c>
      <c r="M25" s="114">
        <f>(Simulation!$C$20/12*(1+Simulation!$F$19)^INT((B25-1)/12)+F25)*(B25&lt;=Simulation!$F$24*12)</f>
        <v>38.150000000000006</v>
      </c>
      <c r="N25" s="114">
        <f ca="1">SUMIF('Détail fiscalité'!$B$8:$B$37,INT(B25/12),'Détail fiscalité'!$CI$8:$CI$37)/12+SUMIF('Détail fiscalité'!$B$8:$B$37,B25/12,'Détail fiscalité'!$CI$8:$CI$37)-SUMIF('Détail fiscalité'!$B$8:$B$37,B25/12-1,'Détail fiscalité'!$CI$8:$CI$37)</f>
        <v>0</v>
      </c>
      <c r="O25" s="116">
        <f t="shared" ca="1" si="5"/>
        <v>-170.12767611207028</v>
      </c>
      <c r="Q25" s="40">
        <f t="shared" si="1"/>
        <v>18</v>
      </c>
      <c r="R25" s="126">
        <f t="shared" si="16"/>
        <v>0</v>
      </c>
      <c r="S25" s="108">
        <f t="shared" si="7"/>
        <v>0</v>
      </c>
      <c r="T25" s="108">
        <f t="shared" si="8"/>
        <v>0</v>
      </c>
      <c r="U25" s="108">
        <f t="shared" si="9"/>
        <v>0</v>
      </c>
      <c r="V25" s="54">
        <f t="shared" si="10"/>
        <v>0</v>
      </c>
      <c r="W25" s="126">
        <f t="shared" si="11"/>
        <v>0</v>
      </c>
      <c r="X25" s="108">
        <f t="shared" si="11"/>
        <v>0</v>
      </c>
      <c r="Y25" s="108">
        <f t="shared" si="12"/>
        <v>0</v>
      </c>
      <c r="Z25" s="108">
        <f t="shared" si="13"/>
        <v>0</v>
      </c>
      <c r="AA25" s="108">
        <f t="shared" si="14"/>
        <v>0</v>
      </c>
      <c r="AB25" s="108">
        <f t="shared" si="15"/>
        <v>0</v>
      </c>
      <c r="AC25" s="108">
        <f t="shared" ca="1" si="3"/>
        <v>0</v>
      </c>
      <c r="AD25" s="127">
        <f t="shared" ca="1" si="4"/>
        <v>0</v>
      </c>
      <c r="AE25" s="42"/>
    </row>
    <row r="26" spans="2:31" x14ac:dyDescent="0.15">
      <c r="B26" s="40">
        <f t="shared" si="0"/>
        <v>19</v>
      </c>
      <c r="C26" s="113">
        <f>IF(B26&lt;=MIN(Simulation!$F$10*12+Simulation!$F$12*OR(Simulation!$F$11="Amortissable différé partiel",Simulation!$F$11="Amortissable différé total"),Simulation!$F$24*12),IF(AND(B26&lt;=Simulation!$F$12,OR(Simulation!$F$11="Amortissable différé partiel",Simulation!$F$11="Amortissable différé total")),C25*(1+(Simulation!$F$11="Amortissable différé total")*Simulation!$F$8/12),C25-D26),0)</f>
        <v>166143.32742136563</v>
      </c>
      <c r="D26" s="114">
        <f>IF(B26&lt;=MIN(Simulation!$F$10*12+Simulation!$F$12*OR(Simulation!$F$11="Amortissable différé partiel",Simulation!$F$11="Amortissable différé total"),Simulation!$F$24*12),G26-E26,0)</f>
        <v>652.36639217847335</v>
      </c>
      <c r="E26" s="114">
        <f>IF(B26&lt;=MIN(Simulation!$F$10*12+Simulation!$F$12*OR(Simulation!$F$11="Amortissable différé partiel",Simulation!$F$11="Amortissable différé total"),Simulation!$F$24*12),IF(AND(B26&lt;=Simulation!$F$12,Simulation!$F$11="Amortissable différé total"),0,C25*Simulation!$F$8/12),0)</f>
        <v>208.49461726693008</v>
      </c>
      <c r="F26" s="114">
        <f>IF(B26&lt;=MIN(Simulation!$F$10*12+Simulation!$F$12*OR(Simulation!$F$11="Amortissable différé partiel",Simulation!$F$11="Amortissable différé total"),Simulation!$F$24*12),Simulation!$E$33*Simulation!$F$9/12,0)</f>
        <v>29.733333333333334</v>
      </c>
      <c r="G26" s="115">
        <f>IF(B26&lt;=MIN(Simulation!$F$10*12+Simulation!$F$12*OR(Simulation!$F$11="Amortissable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partiel",IF(B26&lt;=Simulation!$F$12,Simulation!$E$33*Simulation!$F$8/12,PMT(Simulation!$F$8/12,Simulation!$F$10*12,-Simulation!$E$34)),IF(Simulation!$F$11="Amortissable différé total",IF(B26&lt;=Simulation!$F$12,0,PMT(Simulation!$F$8/12,Simulation!$F$10*12,-Simulation!$E$34)),IF(Simulation!$F$11="In fine",IF(B26=Simulation!$F$10*12,Simulation!$E$34,Simulation!$F$8*Simulation!$E$34/12),0)))),0)</f>
        <v>860.8610094454034</v>
      </c>
      <c r="H26" s="113">
        <f>Simulation!$C$16/12*(1+Simulation!$F$15)^INT((B26-1)/12)*(B26&lt;=Simulation!$F$24*12)</f>
        <v>1010</v>
      </c>
      <c r="I26" s="114">
        <f>(Simulation!$F$22-VLOOKUP(Simulation!$C$27,'Comparatif fiscal'!$B$8:$E$17,4,FALSE)-C26)*(B26=Simulation!$F$24*12)</f>
        <v>0</v>
      </c>
      <c r="J26" s="114">
        <f>(Simulation!$C$21+Simulation!$C$22)/12*(1+Simulation!$F$17)^INT((B26-1)/12)*(B26&lt;=Simulation!$F$24*12)</f>
        <v>126.25</v>
      </c>
      <c r="K26" s="114">
        <f>(H26*Simulation!$C$24+Simulation!$C$23/12*(1+Simulation!$F$15)^INT((B26-1)/12))*(B26&lt;=Simulation!$F$24*12)</f>
        <v>104.36666666666667</v>
      </c>
      <c r="L26" s="114">
        <f>Simulation!$C$19/12*(1+Simulation!$F$18)^INT((B26-1)/12)*(B26&lt;=Simulation!$F$24*12)</f>
        <v>50.5</v>
      </c>
      <c r="M26" s="114">
        <f>(Simulation!$C$20/12*(1+Simulation!$F$19)^INT((B26-1)/12)+F26)*(B26&lt;=Simulation!$F$24*12)</f>
        <v>38.150000000000006</v>
      </c>
      <c r="N26" s="114">
        <f ca="1">SUMIF('Détail fiscalité'!$B$8:$B$37,INT(B26/12),'Détail fiscalité'!$CI$8:$CI$37)/12+SUMIF('Détail fiscalité'!$B$8:$B$37,B26/12,'Détail fiscalité'!$CI$8:$CI$37)-SUMIF('Détail fiscalité'!$B$8:$B$37,B26/12-1,'Détail fiscalité'!$CI$8:$CI$37)</f>
        <v>0</v>
      </c>
      <c r="O26" s="116">
        <f t="shared" ca="1" si="5"/>
        <v>-170.12767611207028</v>
      </c>
      <c r="Q26" s="40">
        <f t="shared" si="1"/>
        <v>19</v>
      </c>
      <c r="R26" s="126">
        <f t="shared" si="16"/>
        <v>0</v>
      </c>
      <c r="S26" s="108">
        <f t="shared" si="7"/>
        <v>0</v>
      </c>
      <c r="T26" s="108">
        <f t="shared" si="8"/>
        <v>0</v>
      </c>
      <c r="U26" s="108">
        <f t="shared" si="9"/>
        <v>0</v>
      </c>
      <c r="V26" s="54">
        <f t="shared" si="10"/>
        <v>0</v>
      </c>
      <c r="W26" s="126">
        <f t="shared" si="11"/>
        <v>0</v>
      </c>
      <c r="X26" s="108">
        <f t="shared" si="11"/>
        <v>0</v>
      </c>
      <c r="Y26" s="108">
        <f t="shared" si="12"/>
        <v>0</v>
      </c>
      <c r="Z26" s="108">
        <f t="shared" si="13"/>
        <v>0</v>
      </c>
      <c r="AA26" s="108">
        <f t="shared" si="14"/>
        <v>0</v>
      </c>
      <c r="AB26" s="108">
        <f t="shared" si="15"/>
        <v>0</v>
      </c>
      <c r="AC26" s="108">
        <f t="shared" ca="1" si="3"/>
        <v>0</v>
      </c>
      <c r="AD26" s="127">
        <f t="shared" ca="1" si="4"/>
        <v>0</v>
      </c>
      <c r="AE26" s="42"/>
    </row>
    <row r="27" spans="2:31" x14ac:dyDescent="0.15">
      <c r="B27" s="40">
        <f t="shared" si="0"/>
        <v>20</v>
      </c>
      <c r="C27" s="113">
        <f>IF(B27&lt;=MIN(Simulation!$F$10*12+Simulation!$F$12*OR(Simulation!$F$11="Amortissable différé partiel",Simulation!$F$11="Amortissable différé total"),Simulation!$F$24*12),IF(AND(B27&lt;=Simulation!$F$12,OR(Simulation!$F$11="Amortissable différé partiel",Simulation!$F$11="Amortissable différé total")),C26*(1+(Simulation!$F$11="Amortissable différé total")*Simulation!$F$8/12),C26-D27),0)</f>
        <v>165490.14557119692</v>
      </c>
      <c r="D27" s="114">
        <f>IF(B27&lt;=MIN(Simulation!$F$10*12+Simulation!$F$12*OR(Simulation!$F$11="Amortissable différé partiel",Simulation!$F$11="Amortissable différé total"),Simulation!$F$24*12),G27-E27,0)</f>
        <v>653.18185016869643</v>
      </c>
      <c r="E27" s="114">
        <f>IF(B27&lt;=MIN(Simulation!$F$10*12+Simulation!$F$12*OR(Simulation!$F$11="Amortissable différé partiel",Simulation!$F$11="Amortissable différé total"),Simulation!$F$24*12),IF(AND(B27&lt;=Simulation!$F$12,Simulation!$F$11="Amortissable différé total"),0,C26*Simulation!$F$8/12),0)</f>
        <v>207.679159276707</v>
      </c>
      <c r="F27" s="114">
        <f>IF(B27&lt;=MIN(Simulation!$F$10*12+Simulation!$F$12*OR(Simulation!$F$11="Amortissable différé partiel",Simulation!$F$11="Amortissable différé total"),Simulation!$F$24*12),Simulation!$E$33*Simulation!$F$9/12,0)</f>
        <v>29.733333333333334</v>
      </c>
      <c r="G27" s="115">
        <f>IF(B27&lt;=MIN(Simulation!$F$10*12+Simulation!$F$12*OR(Simulation!$F$11="Amortissable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partiel",IF(B27&lt;=Simulation!$F$12,Simulation!$E$33*Simulation!$F$8/12,PMT(Simulation!$F$8/12,Simulation!$F$10*12,-Simulation!$E$34)),IF(Simulation!$F$11="Amortissable différé total",IF(B27&lt;=Simulation!$F$12,0,PMT(Simulation!$F$8/12,Simulation!$F$10*12,-Simulation!$E$34)),IF(Simulation!$F$11="In fine",IF(B27=Simulation!$F$10*12,Simulation!$E$34,Simulation!$F$8*Simulation!$E$34/12),0)))),0)</f>
        <v>860.8610094454034</v>
      </c>
      <c r="H27" s="113">
        <f>Simulation!$C$16/12*(1+Simulation!$F$15)^INT((B27-1)/12)*(B27&lt;=Simulation!$F$24*12)</f>
        <v>1010</v>
      </c>
      <c r="I27" s="114">
        <f>(Simulation!$F$22-VLOOKUP(Simulation!$C$27,'Comparatif fiscal'!$B$8:$E$17,4,FALSE)-C27)*(B27=Simulation!$F$24*12)</f>
        <v>0</v>
      </c>
      <c r="J27" s="114">
        <f>(Simulation!$C$21+Simulation!$C$22)/12*(1+Simulation!$F$17)^INT((B27-1)/12)*(B27&lt;=Simulation!$F$24*12)</f>
        <v>126.25</v>
      </c>
      <c r="K27" s="114">
        <f>(H27*Simulation!$C$24+Simulation!$C$23/12*(1+Simulation!$F$15)^INT((B27-1)/12))*(B27&lt;=Simulation!$F$24*12)</f>
        <v>104.36666666666667</v>
      </c>
      <c r="L27" s="114">
        <f>Simulation!$C$19/12*(1+Simulation!$F$18)^INT((B27-1)/12)*(B27&lt;=Simulation!$F$24*12)</f>
        <v>50.5</v>
      </c>
      <c r="M27" s="114">
        <f>(Simulation!$C$20/12*(1+Simulation!$F$19)^INT((B27-1)/12)+F27)*(B27&lt;=Simulation!$F$24*12)</f>
        <v>38.150000000000006</v>
      </c>
      <c r="N27" s="114">
        <f ca="1">SUMIF('Détail fiscalité'!$B$8:$B$37,INT(B27/12),'Détail fiscalité'!$CI$8:$CI$37)/12+SUMIF('Détail fiscalité'!$B$8:$B$37,B27/12,'Détail fiscalité'!$CI$8:$CI$37)-SUMIF('Détail fiscalité'!$B$8:$B$37,B27/12-1,'Détail fiscalité'!$CI$8:$CI$37)</f>
        <v>0</v>
      </c>
      <c r="O27" s="116">
        <f t="shared" ca="1" si="5"/>
        <v>-170.12767611207028</v>
      </c>
      <c r="Q27" s="40">
        <f t="shared" si="1"/>
        <v>20</v>
      </c>
      <c r="R27" s="126">
        <f t="shared" si="16"/>
        <v>0</v>
      </c>
      <c r="S27" s="108">
        <f t="shared" si="7"/>
        <v>0</v>
      </c>
      <c r="T27" s="108">
        <f t="shared" si="8"/>
        <v>0</v>
      </c>
      <c r="U27" s="108">
        <f t="shared" si="9"/>
        <v>0</v>
      </c>
      <c r="V27" s="54">
        <f t="shared" si="10"/>
        <v>0</v>
      </c>
      <c r="W27" s="126">
        <f t="shared" si="11"/>
        <v>0</v>
      </c>
      <c r="X27" s="108">
        <f t="shared" si="11"/>
        <v>0</v>
      </c>
      <c r="Y27" s="108">
        <f t="shared" si="12"/>
        <v>0</v>
      </c>
      <c r="Z27" s="108">
        <f t="shared" si="13"/>
        <v>0</v>
      </c>
      <c r="AA27" s="108">
        <f t="shared" si="14"/>
        <v>0</v>
      </c>
      <c r="AB27" s="108">
        <f t="shared" si="15"/>
        <v>0</v>
      </c>
      <c r="AC27" s="108">
        <f t="shared" ca="1" si="3"/>
        <v>0</v>
      </c>
      <c r="AD27" s="127">
        <f ca="1">SUMPRODUCT(O$7:O$367*($B$7:$B$367&gt;$Q26*12)*($B$7:$B$367&lt;=$Q27*12))</f>
        <v>0</v>
      </c>
      <c r="AE27" s="42"/>
    </row>
    <row r="28" spans="2:31" x14ac:dyDescent="0.15">
      <c r="B28" s="40">
        <f t="shared" si="0"/>
        <v>21</v>
      </c>
      <c r="C28" s="113">
        <f>IF(B28&lt;=MIN(Simulation!$F$10*12+Simulation!$F$12*OR(Simulation!$F$11="Amortissable différé partiel",Simulation!$F$11="Amortissable différé total"),Simulation!$F$24*12),IF(AND(B28&lt;=Simulation!$F$12,OR(Simulation!$F$11="Amortissable différé partiel",Simulation!$F$11="Amortissable différé total")),C27*(1+(Simulation!$F$11="Amortissable différé total")*Simulation!$F$8/12),C27-D28),0)</f>
        <v>164836.1472437155</v>
      </c>
      <c r="D28" s="114">
        <f>IF(B28&lt;=MIN(Simulation!$F$10*12+Simulation!$F$12*OR(Simulation!$F$11="Amortissable différé partiel",Simulation!$F$11="Amortissable différé total"),Simulation!$F$24*12),G28-E28,0)</f>
        <v>653.99832748140727</v>
      </c>
      <c r="E28" s="114">
        <f>IF(B28&lt;=MIN(Simulation!$F$10*12+Simulation!$F$12*OR(Simulation!$F$11="Amortissable différé partiel",Simulation!$F$11="Amortissable différé total"),Simulation!$F$24*12),IF(AND(B28&lt;=Simulation!$F$12,Simulation!$F$11="Amortissable différé total"),0,C27*Simulation!$F$8/12),0)</f>
        <v>206.86268196399612</v>
      </c>
      <c r="F28" s="114">
        <f>IF(B28&lt;=MIN(Simulation!$F$10*12+Simulation!$F$12*OR(Simulation!$F$11="Amortissable différé partiel",Simulation!$F$11="Amortissable différé total"),Simulation!$F$24*12),Simulation!$E$33*Simulation!$F$9/12,0)</f>
        <v>29.733333333333334</v>
      </c>
      <c r="G28" s="115">
        <f>IF(B28&lt;=MIN(Simulation!$F$10*12+Simulation!$F$12*OR(Simulation!$F$11="Amortissable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partiel",IF(B28&lt;=Simulation!$F$12,Simulation!$E$33*Simulation!$F$8/12,PMT(Simulation!$F$8/12,Simulation!$F$10*12,-Simulation!$E$34)),IF(Simulation!$F$11="Amortissable différé total",IF(B28&lt;=Simulation!$F$12,0,PMT(Simulation!$F$8/12,Simulation!$F$10*12,-Simulation!$E$34)),IF(Simulation!$F$11="In fine",IF(B28=Simulation!$F$10*12,Simulation!$E$34,Simulation!$F$8*Simulation!$E$34/12),0)))),0)</f>
        <v>860.8610094454034</v>
      </c>
      <c r="H28" s="113">
        <f>Simulation!$C$16/12*(1+Simulation!$F$15)^INT((B28-1)/12)*(B28&lt;=Simulation!$F$24*12)</f>
        <v>1010</v>
      </c>
      <c r="I28" s="114">
        <f>(Simulation!$F$22-VLOOKUP(Simulation!$C$27,'Comparatif fiscal'!$B$8:$E$17,4,FALSE)-C28)*(B28=Simulation!$F$24*12)</f>
        <v>0</v>
      </c>
      <c r="J28" s="114">
        <f>(Simulation!$C$21+Simulation!$C$22)/12*(1+Simulation!$F$17)^INT((B28-1)/12)*(B28&lt;=Simulation!$F$24*12)</f>
        <v>126.25</v>
      </c>
      <c r="K28" s="114">
        <f>(H28*Simulation!$C$24+Simulation!$C$23/12*(1+Simulation!$F$15)^INT((B28-1)/12))*(B28&lt;=Simulation!$F$24*12)</f>
        <v>104.36666666666667</v>
      </c>
      <c r="L28" s="114">
        <f>Simulation!$C$19/12*(1+Simulation!$F$18)^INT((B28-1)/12)*(B28&lt;=Simulation!$F$24*12)</f>
        <v>50.5</v>
      </c>
      <c r="M28" s="114">
        <f>(Simulation!$C$20/12*(1+Simulation!$F$19)^INT((B28-1)/12)+F28)*(B28&lt;=Simulation!$F$24*12)</f>
        <v>38.150000000000006</v>
      </c>
      <c r="N28" s="114">
        <f ca="1">SUMIF('Détail fiscalité'!$B$8:$B$37,INT(B28/12),'Détail fiscalité'!$CI$8:$CI$37)/12+SUMIF('Détail fiscalité'!$B$8:$B$37,B28/12,'Détail fiscalité'!$CI$8:$CI$37)-SUMIF('Détail fiscalité'!$B$8:$B$37,B28/12-1,'Détail fiscalité'!$CI$8:$CI$37)</f>
        <v>0</v>
      </c>
      <c r="O28" s="116">
        <f t="shared" ca="1" si="5"/>
        <v>-170.12767611207028</v>
      </c>
      <c r="Q28" s="40">
        <f t="shared" si="1"/>
        <v>21</v>
      </c>
      <c r="R28" s="126">
        <f t="shared" si="16"/>
        <v>0</v>
      </c>
      <c r="S28" s="108">
        <f t="shared" si="7"/>
        <v>0</v>
      </c>
      <c r="T28" s="108">
        <f t="shared" si="8"/>
        <v>0</v>
      </c>
      <c r="U28" s="108">
        <f t="shared" si="9"/>
        <v>0</v>
      </c>
      <c r="V28" s="54">
        <f t="shared" si="10"/>
        <v>0</v>
      </c>
      <c r="W28" s="126">
        <f t="shared" si="11"/>
        <v>0</v>
      </c>
      <c r="X28" s="108">
        <f t="shared" si="11"/>
        <v>0</v>
      </c>
      <c r="Y28" s="108">
        <f t="shared" si="12"/>
        <v>0</v>
      </c>
      <c r="Z28" s="108">
        <f t="shared" si="13"/>
        <v>0</v>
      </c>
      <c r="AA28" s="108">
        <f t="shared" si="14"/>
        <v>0</v>
      </c>
      <c r="AB28" s="108">
        <f t="shared" si="15"/>
        <v>0</v>
      </c>
      <c r="AC28" s="108">
        <f t="shared" ca="1" si="3"/>
        <v>0</v>
      </c>
      <c r="AD28" s="127">
        <f t="shared" ca="1" si="4"/>
        <v>0</v>
      </c>
      <c r="AE28" s="42"/>
    </row>
    <row r="29" spans="2:31" x14ac:dyDescent="0.15">
      <c r="B29" s="40">
        <f t="shared" si="0"/>
        <v>22</v>
      </c>
      <c r="C29" s="113">
        <f>IF(B29&lt;=MIN(Simulation!$F$10*12+Simulation!$F$12*OR(Simulation!$F$11="Amortissable différé partiel",Simulation!$F$11="Amortissable différé total"),Simulation!$F$24*12),IF(AND(B29&lt;=Simulation!$F$12,OR(Simulation!$F$11="Amortissable différé partiel",Simulation!$F$11="Amortissable différé total")),C28*(1+(Simulation!$F$11="Amortissable différé total")*Simulation!$F$8/12),C28-D29),0)</f>
        <v>164181.33141832476</v>
      </c>
      <c r="D29" s="114">
        <f>IF(B29&lt;=MIN(Simulation!$F$10*12+Simulation!$F$12*OR(Simulation!$F$11="Amortissable différé partiel",Simulation!$F$11="Amortissable différé total"),Simulation!$F$24*12),G29-E29,0)</f>
        <v>654.81582539075907</v>
      </c>
      <c r="E29" s="114">
        <f>IF(B29&lt;=MIN(Simulation!$F$10*12+Simulation!$F$12*OR(Simulation!$F$11="Amortissable différé partiel",Simulation!$F$11="Amortissable différé total"),Simulation!$F$24*12),IF(AND(B29&lt;=Simulation!$F$12,Simulation!$F$11="Amortissable différé total"),0,C28*Simulation!$F$8/12),0)</f>
        <v>206.04518405464435</v>
      </c>
      <c r="F29" s="114">
        <f>IF(B29&lt;=MIN(Simulation!$F$10*12+Simulation!$F$12*OR(Simulation!$F$11="Amortissable différé partiel",Simulation!$F$11="Amortissable différé total"),Simulation!$F$24*12),Simulation!$E$33*Simulation!$F$9/12,0)</f>
        <v>29.733333333333334</v>
      </c>
      <c r="G29" s="115">
        <f>IF(B29&lt;=MIN(Simulation!$F$10*12+Simulation!$F$12*OR(Simulation!$F$11="Amortissable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partiel",IF(B29&lt;=Simulation!$F$12,Simulation!$E$33*Simulation!$F$8/12,PMT(Simulation!$F$8/12,Simulation!$F$10*12,-Simulation!$E$34)),IF(Simulation!$F$11="Amortissable différé total",IF(B29&lt;=Simulation!$F$12,0,PMT(Simulation!$F$8/12,Simulation!$F$10*12,-Simulation!$E$34)),IF(Simulation!$F$11="In fine",IF(B29=Simulation!$F$10*12,Simulation!$E$34,Simulation!$F$8*Simulation!$E$34/12),0)))),0)</f>
        <v>860.8610094454034</v>
      </c>
      <c r="H29" s="113">
        <f>Simulation!$C$16/12*(1+Simulation!$F$15)^INT((B29-1)/12)*(B29&lt;=Simulation!$F$24*12)</f>
        <v>1010</v>
      </c>
      <c r="I29" s="114">
        <f>(Simulation!$F$22-VLOOKUP(Simulation!$C$27,'Comparatif fiscal'!$B$8:$E$17,4,FALSE)-C29)*(B29=Simulation!$F$24*12)</f>
        <v>0</v>
      </c>
      <c r="J29" s="114">
        <f>(Simulation!$C$21+Simulation!$C$22)/12*(1+Simulation!$F$17)^INT((B29-1)/12)*(B29&lt;=Simulation!$F$24*12)</f>
        <v>126.25</v>
      </c>
      <c r="K29" s="114">
        <f>(H29*Simulation!$C$24+Simulation!$C$23/12*(1+Simulation!$F$15)^INT((B29-1)/12))*(B29&lt;=Simulation!$F$24*12)</f>
        <v>104.36666666666667</v>
      </c>
      <c r="L29" s="114">
        <f>Simulation!$C$19/12*(1+Simulation!$F$18)^INT((B29-1)/12)*(B29&lt;=Simulation!$F$24*12)</f>
        <v>50.5</v>
      </c>
      <c r="M29" s="114">
        <f>(Simulation!$C$20/12*(1+Simulation!$F$19)^INT((B29-1)/12)+F29)*(B29&lt;=Simulation!$F$24*12)</f>
        <v>38.150000000000006</v>
      </c>
      <c r="N29" s="114">
        <f ca="1">SUMIF('Détail fiscalité'!$B$8:$B$37,INT(B29/12),'Détail fiscalité'!$CI$8:$CI$37)/12+SUMIF('Détail fiscalité'!$B$8:$B$37,B29/12,'Détail fiscalité'!$CI$8:$CI$37)-SUMIF('Détail fiscalité'!$B$8:$B$37,B29/12-1,'Détail fiscalité'!$CI$8:$CI$37)</f>
        <v>0</v>
      </c>
      <c r="O29" s="116">
        <f t="shared" ca="1" si="5"/>
        <v>-170.12767611207028</v>
      </c>
      <c r="Q29" s="40">
        <f t="shared" si="1"/>
        <v>22</v>
      </c>
      <c r="R29" s="126">
        <f t="shared" si="16"/>
        <v>0</v>
      </c>
      <c r="S29" s="108">
        <f t="shared" si="7"/>
        <v>0</v>
      </c>
      <c r="T29" s="108">
        <f t="shared" si="8"/>
        <v>0</v>
      </c>
      <c r="U29" s="108">
        <f t="shared" si="9"/>
        <v>0</v>
      </c>
      <c r="V29" s="54">
        <f t="shared" si="10"/>
        <v>0</v>
      </c>
      <c r="W29" s="126">
        <f t="shared" si="11"/>
        <v>0</v>
      </c>
      <c r="X29" s="108">
        <f t="shared" si="11"/>
        <v>0</v>
      </c>
      <c r="Y29" s="108">
        <f t="shared" si="12"/>
        <v>0</v>
      </c>
      <c r="Z29" s="108">
        <f t="shared" si="13"/>
        <v>0</v>
      </c>
      <c r="AA29" s="108">
        <f t="shared" si="14"/>
        <v>0</v>
      </c>
      <c r="AB29" s="108">
        <f t="shared" si="15"/>
        <v>0</v>
      </c>
      <c r="AC29" s="108">
        <f t="shared" ca="1" si="3"/>
        <v>0</v>
      </c>
      <c r="AD29" s="127">
        <f t="shared" ca="1" si="4"/>
        <v>0</v>
      </c>
      <c r="AE29" s="42"/>
    </row>
    <row r="30" spans="2:31" x14ac:dyDescent="0.15">
      <c r="B30" s="40">
        <f t="shared" si="0"/>
        <v>23</v>
      </c>
      <c r="C30" s="113">
        <f>IF(B30&lt;=MIN(Simulation!$F$10*12+Simulation!$F$12*OR(Simulation!$F$11="Amortissable différé partiel",Simulation!$F$11="Amortissable différé total"),Simulation!$F$24*12),IF(AND(B30&lt;=Simulation!$F$12,OR(Simulation!$F$11="Amortissable différé partiel",Simulation!$F$11="Amortissable différé total")),C29*(1+(Simulation!$F$11="Amortissable différé total")*Simulation!$F$8/12),C29-D30),0)</f>
        <v>163525.69707315226</v>
      </c>
      <c r="D30" s="114">
        <f>IF(B30&lt;=MIN(Simulation!$F$10*12+Simulation!$F$12*OR(Simulation!$F$11="Amortissable différé partiel",Simulation!$F$11="Amortissable différé total"),Simulation!$F$24*12),G30-E30,0)</f>
        <v>655.63434517249743</v>
      </c>
      <c r="E30" s="114">
        <f>IF(B30&lt;=MIN(Simulation!$F$10*12+Simulation!$F$12*OR(Simulation!$F$11="Amortissable différé partiel",Simulation!$F$11="Amortissable différé total"),Simulation!$F$24*12),IF(AND(B30&lt;=Simulation!$F$12,Simulation!$F$11="Amortissable différé total"),0,C29*Simulation!$F$8/12),0)</f>
        <v>205.22666427290594</v>
      </c>
      <c r="F30" s="114">
        <f>IF(B30&lt;=MIN(Simulation!$F$10*12+Simulation!$F$12*OR(Simulation!$F$11="Amortissable différé partiel",Simulation!$F$11="Amortissable différé total"),Simulation!$F$24*12),Simulation!$E$33*Simulation!$F$9/12,0)</f>
        <v>29.733333333333334</v>
      </c>
      <c r="G30" s="115">
        <f>IF(B30&lt;=MIN(Simulation!$F$10*12+Simulation!$F$12*OR(Simulation!$F$11="Amortissable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partiel",IF(B30&lt;=Simulation!$F$12,Simulation!$E$33*Simulation!$F$8/12,PMT(Simulation!$F$8/12,Simulation!$F$10*12,-Simulation!$E$34)),IF(Simulation!$F$11="Amortissable différé total",IF(B30&lt;=Simulation!$F$12,0,PMT(Simulation!$F$8/12,Simulation!$F$10*12,-Simulation!$E$34)),IF(Simulation!$F$11="In fine",IF(B30=Simulation!$F$10*12,Simulation!$E$34,Simulation!$F$8*Simulation!$E$34/12),0)))),0)</f>
        <v>860.8610094454034</v>
      </c>
      <c r="H30" s="113">
        <f>Simulation!$C$16/12*(1+Simulation!$F$15)^INT((B30-1)/12)*(B30&lt;=Simulation!$F$24*12)</f>
        <v>1010</v>
      </c>
      <c r="I30" s="114">
        <f>(Simulation!$F$22-VLOOKUP(Simulation!$C$27,'Comparatif fiscal'!$B$8:$E$17,4,FALSE)-C30)*(B30=Simulation!$F$24*12)</f>
        <v>0</v>
      </c>
      <c r="J30" s="114">
        <f>(Simulation!$C$21+Simulation!$C$22)/12*(1+Simulation!$F$17)^INT((B30-1)/12)*(B30&lt;=Simulation!$F$24*12)</f>
        <v>126.25</v>
      </c>
      <c r="K30" s="114">
        <f>(H30*Simulation!$C$24+Simulation!$C$23/12*(1+Simulation!$F$15)^INT((B30-1)/12))*(B30&lt;=Simulation!$F$24*12)</f>
        <v>104.36666666666667</v>
      </c>
      <c r="L30" s="114">
        <f>Simulation!$C$19/12*(1+Simulation!$F$18)^INT((B30-1)/12)*(B30&lt;=Simulation!$F$24*12)</f>
        <v>50.5</v>
      </c>
      <c r="M30" s="114">
        <f>(Simulation!$C$20/12*(1+Simulation!$F$19)^INT((B30-1)/12)+F30)*(B30&lt;=Simulation!$F$24*12)</f>
        <v>38.150000000000006</v>
      </c>
      <c r="N30" s="114">
        <f ca="1">SUMIF('Détail fiscalité'!$B$8:$B$37,INT(B30/12),'Détail fiscalité'!$CI$8:$CI$37)/12+SUMIF('Détail fiscalité'!$B$8:$B$37,B30/12,'Détail fiscalité'!$CI$8:$CI$37)-SUMIF('Détail fiscalité'!$B$8:$B$37,B30/12-1,'Détail fiscalité'!$CI$8:$CI$37)</f>
        <v>0</v>
      </c>
      <c r="O30" s="116">
        <f t="shared" ca="1" si="5"/>
        <v>-170.12767611207028</v>
      </c>
      <c r="Q30" s="40">
        <f t="shared" si="1"/>
        <v>23</v>
      </c>
      <c r="R30" s="126">
        <f t="shared" si="16"/>
        <v>0</v>
      </c>
      <c r="S30" s="108">
        <f t="shared" si="7"/>
        <v>0</v>
      </c>
      <c r="T30" s="108">
        <f t="shared" si="8"/>
        <v>0</v>
      </c>
      <c r="U30" s="108">
        <f t="shared" si="9"/>
        <v>0</v>
      </c>
      <c r="V30" s="54">
        <f t="shared" si="10"/>
        <v>0</v>
      </c>
      <c r="W30" s="126">
        <f t="shared" si="11"/>
        <v>0</v>
      </c>
      <c r="X30" s="108">
        <f t="shared" si="11"/>
        <v>0</v>
      </c>
      <c r="Y30" s="108">
        <f t="shared" si="12"/>
        <v>0</v>
      </c>
      <c r="Z30" s="108">
        <f t="shared" si="13"/>
        <v>0</v>
      </c>
      <c r="AA30" s="108">
        <f t="shared" si="14"/>
        <v>0</v>
      </c>
      <c r="AB30" s="108">
        <f t="shared" si="15"/>
        <v>0</v>
      </c>
      <c r="AC30" s="108">
        <f t="shared" ca="1" si="3"/>
        <v>0</v>
      </c>
      <c r="AD30" s="127">
        <f t="shared" ca="1" si="4"/>
        <v>0</v>
      </c>
      <c r="AE30" s="42"/>
    </row>
    <row r="31" spans="2:31" x14ac:dyDescent="0.15">
      <c r="B31" s="40">
        <f t="shared" si="0"/>
        <v>24</v>
      </c>
      <c r="C31" s="113">
        <f>IF(B31&lt;=MIN(Simulation!$F$10*12+Simulation!$F$12*OR(Simulation!$F$11="Amortissable différé partiel",Simulation!$F$11="Amortissable différé total"),Simulation!$F$24*12),IF(AND(B31&lt;=Simulation!$F$12,OR(Simulation!$F$11="Amortissable différé partiel",Simulation!$F$11="Amortissable différé total")),C30*(1+(Simulation!$F$11="Amortissable différé total")*Simulation!$F$8/12),C30-D31),0)</f>
        <v>162869.24318504828</v>
      </c>
      <c r="D31" s="114">
        <f>IF(B31&lt;=MIN(Simulation!$F$10*12+Simulation!$F$12*OR(Simulation!$F$11="Amortissable différé partiel",Simulation!$F$11="Amortissable différé total"),Simulation!$F$24*12),G31-E31,0)</f>
        <v>656.4538881039631</v>
      </c>
      <c r="E31" s="114">
        <f>IF(B31&lt;=MIN(Simulation!$F$10*12+Simulation!$F$12*OR(Simulation!$F$11="Amortissable différé partiel",Simulation!$F$11="Amortissable différé total"),Simulation!$F$24*12),IF(AND(B31&lt;=Simulation!$F$12,Simulation!$F$11="Amortissable différé total"),0,C30*Simulation!$F$8/12),0)</f>
        <v>204.4071213414403</v>
      </c>
      <c r="F31" s="114">
        <f>IF(B31&lt;=MIN(Simulation!$F$10*12+Simulation!$F$12*OR(Simulation!$F$11="Amortissable différé partiel",Simulation!$F$11="Amortissable différé total"),Simulation!$F$24*12),Simulation!$E$33*Simulation!$F$9/12,0)</f>
        <v>29.733333333333334</v>
      </c>
      <c r="G31" s="115">
        <f>IF(B31&lt;=MIN(Simulation!$F$10*12+Simulation!$F$12*OR(Simulation!$F$11="Amortissable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partiel",IF(B31&lt;=Simulation!$F$12,Simulation!$E$33*Simulation!$F$8/12,PMT(Simulation!$F$8/12,Simulation!$F$10*12,-Simulation!$E$34)),IF(Simulation!$F$11="Amortissable différé total",IF(B31&lt;=Simulation!$F$12,0,PMT(Simulation!$F$8/12,Simulation!$F$10*12,-Simulation!$E$34)),IF(Simulation!$F$11="In fine",IF(B31=Simulation!$F$10*12,Simulation!$E$34,Simulation!$F$8*Simulation!$E$34/12),0)))),0)</f>
        <v>860.8610094454034</v>
      </c>
      <c r="H31" s="113">
        <f>Simulation!$C$16/12*(1+Simulation!$F$15)^INT((B31-1)/12)*(B31&lt;=Simulation!$F$24*12)</f>
        <v>1010</v>
      </c>
      <c r="I31" s="114">
        <f>(Simulation!$F$22-VLOOKUP(Simulation!$C$27,'Comparatif fiscal'!$B$8:$E$17,4,FALSE)-C31)*(B31=Simulation!$F$24*12)</f>
        <v>0</v>
      </c>
      <c r="J31" s="114">
        <f>(Simulation!$C$21+Simulation!$C$22)/12*(1+Simulation!$F$17)^INT((B31-1)/12)*(B31&lt;=Simulation!$F$24*12)</f>
        <v>126.25</v>
      </c>
      <c r="K31" s="114">
        <f>(H31*Simulation!$C$24+Simulation!$C$23/12*(1+Simulation!$F$15)^INT((B31-1)/12))*(B31&lt;=Simulation!$F$24*12)</f>
        <v>104.36666666666667</v>
      </c>
      <c r="L31" s="114">
        <f>Simulation!$C$19/12*(1+Simulation!$F$18)^INT((B31-1)/12)*(B31&lt;=Simulation!$F$24*12)</f>
        <v>50.5</v>
      </c>
      <c r="M31" s="114">
        <f>(Simulation!$C$20/12*(1+Simulation!$F$19)^INT((B31-1)/12)+F31)*(B31&lt;=Simulation!$F$24*12)</f>
        <v>38.150000000000006</v>
      </c>
      <c r="N31" s="114">
        <f ca="1">SUMIF('Détail fiscalité'!$B$8:$B$37,INT(B31/12),'Détail fiscalité'!$CI$8:$CI$37)/12+SUMIF('Détail fiscalité'!$B$8:$B$37,B31/12,'Détail fiscalité'!$CI$8:$CI$37)-SUMIF('Détail fiscalité'!$B$8:$B$37,B31/12-1,'Détail fiscalité'!$CI$8:$CI$37)</f>
        <v>0</v>
      </c>
      <c r="O31" s="116">
        <f t="shared" ca="1" si="5"/>
        <v>-170.12767611207028</v>
      </c>
      <c r="Q31" s="40">
        <f t="shared" si="1"/>
        <v>24</v>
      </c>
      <c r="R31" s="126">
        <f t="shared" si="16"/>
        <v>0</v>
      </c>
      <c r="S31" s="108">
        <f t="shared" si="7"/>
        <v>0</v>
      </c>
      <c r="T31" s="108">
        <f t="shared" si="8"/>
        <v>0</v>
      </c>
      <c r="U31" s="108">
        <f t="shared" si="9"/>
        <v>0</v>
      </c>
      <c r="V31" s="54">
        <f t="shared" si="10"/>
        <v>0</v>
      </c>
      <c r="W31" s="126">
        <f t="shared" si="11"/>
        <v>0</v>
      </c>
      <c r="X31" s="108">
        <f t="shared" si="11"/>
        <v>0</v>
      </c>
      <c r="Y31" s="108">
        <f t="shared" si="12"/>
        <v>0</v>
      </c>
      <c r="Z31" s="108">
        <f t="shared" si="13"/>
        <v>0</v>
      </c>
      <c r="AA31" s="108">
        <f t="shared" si="14"/>
        <v>0</v>
      </c>
      <c r="AB31" s="108">
        <f t="shared" si="15"/>
        <v>0</v>
      </c>
      <c r="AC31" s="108">
        <f t="shared" ca="1" si="3"/>
        <v>0</v>
      </c>
      <c r="AD31" s="127">
        <f t="shared" ca="1" si="4"/>
        <v>0</v>
      </c>
      <c r="AE31" s="42"/>
    </row>
    <row r="32" spans="2:31" x14ac:dyDescent="0.15">
      <c r="B32" s="40">
        <f t="shared" si="0"/>
        <v>25</v>
      </c>
      <c r="C32" s="113">
        <f>IF(B32&lt;=MIN(Simulation!$F$10*12+Simulation!$F$12*OR(Simulation!$F$11="Amortissable différé partiel",Simulation!$F$11="Amortissable différé total"),Simulation!$F$24*12),IF(AND(B32&lt;=Simulation!$F$12,OR(Simulation!$F$11="Amortissable différé partiel",Simulation!$F$11="Amortissable différé total")),C31*(1+(Simulation!$F$11="Amortissable différé total")*Simulation!$F$8/12),C31-D32),0)</f>
        <v>162211.96872958419</v>
      </c>
      <c r="D32" s="114">
        <f>IF(B32&lt;=MIN(Simulation!$F$10*12+Simulation!$F$12*OR(Simulation!$F$11="Amortissable différé partiel",Simulation!$F$11="Amortissable différé total"),Simulation!$F$24*12),G32-E32,0)</f>
        <v>657.27445546409308</v>
      </c>
      <c r="E32" s="114">
        <f>IF(B32&lt;=MIN(Simulation!$F$10*12+Simulation!$F$12*OR(Simulation!$F$11="Amortissable différé partiel",Simulation!$F$11="Amortissable différé total"),Simulation!$F$24*12),IF(AND(B32&lt;=Simulation!$F$12,Simulation!$F$11="Amortissable différé total"),0,C31*Simulation!$F$8/12),0)</f>
        <v>203.58655398131035</v>
      </c>
      <c r="F32" s="114">
        <f>IF(B32&lt;=MIN(Simulation!$F$10*12+Simulation!$F$12*OR(Simulation!$F$11="Amortissable différé partiel",Simulation!$F$11="Amortissable différé total"),Simulation!$F$24*12),Simulation!$E$33*Simulation!$F$9/12,0)</f>
        <v>29.733333333333334</v>
      </c>
      <c r="G32" s="115">
        <f>IF(B32&lt;=MIN(Simulation!$F$10*12+Simulation!$F$12*OR(Simulation!$F$11="Amortissable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partiel",IF(B32&lt;=Simulation!$F$12,Simulation!$E$33*Simulation!$F$8/12,PMT(Simulation!$F$8/12,Simulation!$F$10*12,-Simulation!$E$34)),IF(Simulation!$F$11="Amortissable différé total",IF(B32&lt;=Simulation!$F$12,0,PMT(Simulation!$F$8/12,Simulation!$F$10*12,-Simulation!$E$34)),IF(Simulation!$F$11="In fine",IF(B32=Simulation!$F$10*12,Simulation!$E$34,Simulation!$F$8*Simulation!$E$34/12),0)))),0)</f>
        <v>860.8610094454034</v>
      </c>
      <c r="H32" s="113">
        <f>Simulation!$C$16/12*(1+Simulation!$F$15)^INT((B32-1)/12)*(B32&lt;=Simulation!$F$24*12)</f>
        <v>1020.1</v>
      </c>
      <c r="I32" s="114">
        <f>(Simulation!$F$22-VLOOKUP(Simulation!$C$27,'Comparatif fiscal'!$B$8:$E$17,4,FALSE)-C32)*(B32=Simulation!$F$24*12)</f>
        <v>0</v>
      </c>
      <c r="J32" s="114">
        <f>(Simulation!$C$21+Simulation!$C$22)/12*(1+Simulation!$F$17)^INT((B32-1)/12)*(B32&lt;=Simulation!$F$24*12)</f>
        <v>127.5125</v>
      </c>
      <c r="K32" s="114">
        <f>(H32*Simulation!$C$24+Simulation!$C$23/12*(1+Simulation!$F$15)^INT((B32-1)/12))*(B32&lt;=Simulation!$F$24*12)</f>
        <v>105.41033333333334</v>
      </c>
      <c r="L32" s="114">
        <f>Simulation!$C$19/12*(1+Simulation!$F$18)^INT((B32-1)/12)*(B32&lt;=Simulation!$F$24*12)</f>
        <v>51.005000000000003</v>
      </c>
      <c r="M32" s="114">
        <f>(Simulation!$C$20/12*(1+Simulation!$F$19)^INT((B32-1)/12)+F32)*(B32&lt;=Simulation!$F$24*12)</f>
        <v>38.234166666666667</v>
      </c>
      <c r="N32" s="114">
        <f ca="1">SUMIF('Détail fiscalité'!$B$8:$B$37,INT(B32/12),'Détail fiscalité'!$CI$8:$CI$37)/12+SUMIF('Détail fiscalité'!$B$8:$B$37,B32/12,'Détail fiscalité'!$CI$8:$CI$37)-SUMIF('Détail fiscalité'!$B$8:$B$37,B32/12-1,'Détail fiscalité'!$CI$8:$CI$37)</f>
        <v>0</v>
      </c>
      <c r="O32" s="116">
        <f t="shared" ca="1" si="5"/>
        <v>-162.92300944540341</v>
      </c>
      <c r="Q32" s="40">
        <f t="shared" si="1"/>
        <v>25</v>
      </c>
      <c r="R32" s="126">
        <f t="shared" si="16"/>
        <v>0</v>
      </c>
      <c r="S32" s="108">
        <f t="shared" si="7"/>
        <v>0</v>
      </c>
      <c r="T32" s="108">
        <f t="shared" si="8"/>
        <v>0</v>
      </c>
      <c r="U32" s="108">
        <f t="shared" si="9"/>
        <v>0</v>
      </c>
      <c r="V32" s="54">
        <f t="shared" si="10"/>
        <v>0</v>
      </c>
      <c r="W32" s="126">
        <f t="shared" si="11"/>
        <v>0</v>
      </c>
      <c r="X32" s="108">
        <f t="shared" si="11"/>
        <v>0</v>
      </c>
      <c r="Y32" s="108">
        <f t="shared" si="12"/>
        <v>0</v>
      </c>
      <c r="Z32" s="108">
        <f t="shared" si="13"/>
        <v>0</v>
      </c>
      <c r="AA32" s="108">
        <f t="shared" si="14"/>
        <v>0</v>
      </c>
      <c r="AB32" s="108">
        <f t="shared" si="15"/>
        <v>0</v>
      </c>
      <c r="AC32" s="108">
        <f t="shared" ca="1" si="3"/>
        <v>0</v>
      </c>
      <c r="AD32" s="127">
        <f t="shared" ca="1" si="4"/>
        <v>0</v>
      </c>
      <c r="AE32" s="42"/>
    </row>
    <row r="33" spans="2:31" x14ac:dyDescent="0.15">
      <c r="B33" s="40">
        <f t="shared" si="0"/>
        <v>26</v>
      </c>
      <c r="C33" s="113">
        <f>IF(B33&lt;=MIN(Simulation!$F$10*12+Simulation!$F$12*OR(Simulation!$F$11="Amortissable différé partiel",Simulation!$F$11="Amortissable différé total"),Simulation!$F$24*12),IF(AND(B33&lt;=Simulation!$F$12,OR(Simulation!$F$11="Amortissable différé partiel",Simulation!$F$11="Amortissable différé total")),C32*(1+(Simulation!$F$11="Amortissable différé total")*Simulation!$F$8/12),C32-D33),0)</f>
        <v>161553.87268105077</v>
      </c>
      <c r="D33" s="114">
        <f>IF(B33&lt;=MIN(Simulation!$F$10*12+Simulation!$F$12*OR(Simulation!$F$11="Amortissable différé partiel",Simulation!$F$11="Amortissable différé total"),Simulation!$F$24*12),G33-E33,0)</f>
        <v>658.09604853342319</v>
      </c>
      <c r="E33" s="114">
        <f>IF(B33&lt;=MIN(Simulation!$F$10*12+Simulation!$F$12*OR(Simulation!$F$11="Amortissable différé partiel",Simulation!$F$11="Amortissable différé total"),Simulation!$F$24*12),IF(AND(B33&lt;=Simulation!$F$12,Simulation!$F$11="Amortissable différé total"),0,C32*Simulation!$F$8/12),0)</f>
        <v>202.76496091198021</v>
      </c>
      <c r="F33" s="114">
        <f>IF(B33&lt;=MIN(Simulation!$F$10*12+Simulation!$F$12*OR(Simulation!$F$11="Amortissable différé partiel",Simulation!$F$11="Amortissable différé total"),Simulation!$F$24*12),Simulation!$E$33*Simulation!$F$9/12,0)</f>
        <v>29.733333333333334</v>
      </c>
      <c r="G33" s="115">
        <f>IF(B33&lt;=MIN(Simulation!$F$10*12+Simulation!$F$12*OR(Simulation!$F$11="Amortissable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partiel",IF(B33&lt;=Simulation!$F$12,Simulation!$E$33*Simulation!$F$8/12,PMT(Simulation!$F$8/12,Simulation!$F$10*12,-Simulation!$E$34)),IF(Simulation!$F$11="Amortissable différé total",IF(B33&lt;=Simulation!$F$12,0,PMT(Simulation!$F$8/12,Simulation!$F$10*12,-Simulation!$E$34)),IF(Simulation!$F$11="In fine",IF(B33=Simulation!$F$10*12,Simulation!$E$34,Simulation!$F$8*Simulation!$E$34/12),0)))),0)</f>
        <v>860.8610094454034</v>
      </c>
      <c r="H33" s="113">
        <f>Simulation!$C$16/12*(1+Simulation!$F$15)^INT((B33-1)/12)*(B33&lt;=Simulation!$F$24*12)</f>
        <v>1020.1</v>
      </c>
      <c r="I33" s="114">
        <f>(Simulation!$F$22-VLOOKUP(Simulation!$C$27,'Comparatif fiscal'!$B$8:$E$17,4,FALSE)-C33)*(B33=Simulation!$F$24*12)</f>
        <v>0</v>
      </c>
      <c r="J33" s="114">
        <f>(Simulation!$C$21+Simulation!$C$22)/12*(1+Simulation!$F$17)^INT((B33-1)/12)*(B33&lt;=Simulation!$F$24*12)</f>
        <v>127.5125</v>
      </c>
      <c r="K33" s="114">
        <f>(H33*Simulation!$C$24+Simulation!$C$23/12*(1+Simulation!$F$15)^INT((B33-1)/12))*(B33&lt;=Simulation!$F$24*12)</f>
        <v>105.41033333333334</v>
      </c>
      <c r="L33" s="114">
        <f>Simulation!$C$19/12*(1+Simulation!$F$18)^INT((B33-1)/12)*(B33&lt;=Simulation!$F$24*12)</f>
        <v>51.005000000000003</v>
      </c>
      <c r="M33" s="114">
        <f>(Simulation!$C$20/12*(1+Simulation!$F$19)^INT((B33-1)/12)+F33)*(B33&lt;=Simulation!$F$24*12)</f>
        <v>38.234166666666667</v>
      </c>
      <c r="N33" s="114">
        <f ca="1">SUMIF('Détail fiscalité'!$B$8:$B$37,INT(B33/12),'Détail fiscalité'!$CI$8:$CI$37)/12+SUMIF('Détail fiscalité'!$B$8:$B$37,B33/12,'Détail fiscalité'!$CI$8:$CI$37)-SUMIF('Détail fiscalité'!$B$8:$B$37,B33/12-1,'Détail fiscalité'!$CI$8:$CI$37)</f>
        <v>0</v>
      </c>
      <c r="O33" s="116">
        <f t="shared" ca="1" si="5"/>
        <v>-162.92300944540341</v>
      </c>
      <c r="Q33" s="40">
        <f t="shared" si="1"/>
        <v>26</v>
      </c>
      <c r="R33" s="126">
        <f t="shared" si="16"/>
        <v>0</v>
      </c>
      <c r="S33" s="108">
        <f t="shared" si="7"/>
        <v>0</v>
      </c>
      <c r="T33" s="108">
        <f t="shared" si="8"/>
        <v>0</v>
      </c>
      <c r="U33" s="108">
        <f t="shared" si="9"/>
        <v>0</v>
      </c>
      <c r="V33" s="54">
        <f t="shared" si="10"/>
        <v>0</v>
      </c>
      <c r="W33" s="126">
        <f t="shared" si="11"/>
        <v>0</v>
      </c>
      <c r="X33" s="108">
        <f t="shared" si="11"/>
        <v>0</v>
      </c>
      <c r="Y33" s="108">
        <f t="shared" si="12"/>
        <v>0</v>
      </c>
      <c r="Z33" s="108">
        <f t="shared" si="13"/>
        <v>0</v>
      </c>
      <c r="AA33" s="108">
        <f t="shared" si="14"/>
        <v>0</v>
      </c>
      <c r="AB33" s="108">
        <f t="shared" si="15"/>
        <v>0</v>
      </c>
      <c r="AC33" s="108">
        <f t="shared" ca="1" si="3"/>
        <v>0</v>
      </c>
      <c r="AD33" s="127">
        <f t="shared" ca="1" si="4"/>
        <v>0</v>
      </c>
      <c r="AE33" s="42"/>
    </row>
    <row r="34" spans="2:31" x14ac:dyDescent="0.15">
      <c r="B34" s="40">
        <f t="shared" si="0"/>
        <v>27</v>
      </c>
      <c r="C34" s="113">
        <f>IF(B34&lt;=MIN(Simulation!$F$10*12+Simulation!$F$12*OR(Simulation!$F$11="Amortissable différé partiel",Simulation!$F$11="Amortissable différé total"),Simulation!$F$24*12),IF(AND(B34&lt;=Simulation!$F$12,OR(Simulation!$F$11="Amortissable différé partiel",Simulation!$F$11="Amortissable différé total")),C33*(1+(Simulation!$F$11="Amortissable différé total")*Simulation!$F$8/12),C33-D34),0)</f>
        <v>160894.95401245667</v>
      </c>
      <c r="D34" s="114">
        <f>IF(B34&lt;=MIN(Simulation!$F$10*12+Simulation!$F$12*OR(Simulation!$F$11="Amortissable différé partiel",Simulation!$F$11="Amortissable différé total"),Simulation!$F$24*12),G34-E34,0)</f>
        <v>658.91866859408992</v>
      </c>
      <c r="E34" s="114">
        <f>IF(B34&lt;=MIN(Simulation!$F$10*12+Simulation!$F$12*OR(Simulation!$F$11="Amortissable différé partiel",Simulation!$F$11="Amortissable différé total"),Simulation!$F$24*12),IF(AND(B34&lt;=Simulation!$F$12,Simulation!$F$11="Amortissable différé total"),0,C33*Simulation!$F$8/12),0)</f>
        <v>201.94234085131345</v>
      </c>
      <c r="F34" s="114">
        <f>IF(B34&lt;=MIN(Simulation!$F$10*12+Simulation!$F$12*OR(Simulation!$F$11="Amortissable différé partiel",Simulation!$F$11="Amortissable différé total"),Simulation!$F$24*12),Simulation!$E$33*Simulation!$F$9/12,0)</f>
        <v>29.733333333333334</v>
      </c>
      <c r="G34" s="115">
        <f>IF(B34&lt;=MIN(Simulation!$F$10*12+Simulation!$F$12*OR(Simulation!$F$11="Amortissable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partiel",IF(B34&lt;=Simulation!$F$12,Simulation!$E$33*Simulation!$F$8/12,PMT(Simulation!$F$8/12,Simulation!$F$10*12,-Simulation!$E$34)),IF(Simulation!$F$11="Amortissable différé total",IF(B34&lt;=Simulation!$F$12,0,PMT(Simulation!$F$8/12,Simulation!$F$10*12,-Simulation!$E$34)),IF(Simulation!$F$11="In fine",IF(B34=Simulation!$F$10*12,Simulation!$E$34,Simulation!$F$8*Simulation!$E$34/12),0)))),0)</f>
        <v>860.8610094454034</v>
      </c>
      <c r="H34" s="113">
        <f>Simulation!$C$16/12*(1+Simulation!$F$15)^INT((B34-1)/12)*(B34&lt;=Simulation!$F$24*12)</f>
        <v>1020.1</v>
      </c>
      <c r="I34" s="114">
        <f>(Simulation!$F$22-VLOOKUP(Simulation!$C$27,'Comparatif fiscal'!$B$8:$E$17,4,FALSE)-C34)*(B34=Simulation!$F$24*12)</f>
        <v>0</v>
      </c>
      <c r="J34" s="114">
        <f>(Simulation!$C$21+Simulation!$C$22)/12*(1+Simulation!$F$17)^INT((B34-1)/12)*(B34&lt;=Simulation!$F$24*12)</f>
        <v>127.5125</v>
      </c>
      <c r="K34" s="114">
        <f>(H34*Simulation!$C$24+Simulation!$C$23/12*(1+Simulation!$F$15)^INT((B34-1)/12))*(B34&lt;=Simulation!$F$24*12)</f>
        <v>105.41033333333334</v>
      </c>
      <c r="L34" s="114">
        <f>Simulation!$C$19/12*(1+Simulation!$F$18)^INT((B34-1)/12)*(B34&lt;=Simulation!$F$24*12)</f>
        <v>51.005000000000003</v>
      </c>
      <c r="M34" s="114">
        <f>(Simulation!$C$20/12*(1+Simulation!$F$19)^INT((B34-1)/12)+F34)*(B34&lt;=Simulation!$F$24*12)</f>
        <v>38.234166666666667</v>
      </c>
      <c r="N34" s="114">
        <f ca="1">SUMIF('Détail fiscalité'!$B$8:$B$37,INT(B34/12),'Détail fiscalité'!$CI$8:$CI$37)/12+SUMIF('Détail fiscalité'!$B$8:$B$37,B34/12,'Détail fiscalité'!$CI$8:$CI$37)-SUMIF('Détail fiscalité'!$B$8:$B$37,B34/12-1,'Détail fiscalité'!$CI$8:$CI$37)</f>
        <v>0</v>
      </c>
      <c r="O34" s="116">
        <f t="shared" ca="1" si="5"/>
        <v>-162.92300944540341</v>
      </c>
      <c r="Q34" s="40">
        <f t="shared" si="1"/>
        <v>27</v>
      </c>
      <c r="R34" s="126">
        <f t="shared" si="16"/>
        <v>0</v>
      </c>
      <c r="S34" s="108">
        <f t="shared" si="7"/>
        <v>0</v>
      </c>
      <c r="T34" s="108">
        <f t="shared" si="8"/>
        <v>0</v>
      </c>
      <c r="U34" s="108">
        <f t="shared" si="9"/>
        <v>0</v>
      </c>
      <c r="V34" s="54">
        <f t="shared" si="10"/>
        <v>0</v>
      </c>
      <c r="W34" s="126">
        <f t="shared" si="11"/>
        <v>0</v>
      </c>
      <c r="X34" s="108">
        <f t="shared" si="11"/>
        <v>0</v>
      </c>
      <c r="Y34" s="108">
        <f t="shared" si="12"/>
        <v>0</v>
      </c>
      <c r="Z34" s="108">
        <f t="shared" si="13"/>
        <v>0</v>
      </c>
      <c r="AA34" s="108">
        <f t="shared" si="14"/>
        <v>0</v>
      </c>
      <c r="AB34" s="108">
        <f t="shared" si="15"/>
        <v>0</v>
      </c>
      <c r="AC34" s="108">
        <f t="shared" ca="1" si="3"/>
        <v>0</v>
      </c>
      <c r="AD34" s="127">
        <f t="shared" ca="1" si="4"/>
        <v>0</v>
      </c>
      <c r="AE34" s="42"/>
    </row>
    <row r="35" spans="2:31" x14ac:dyDescent="0.15">
      <c r="B35" s="40">
        <f t="shared" si="0"/>
        <v>28</v>
      </c>
      <c r="C35" s="113">
        <f>IF(B35&lt;=MIN(Simulation!$F$10*12+Simulation!$F$12*OR(Simulation!$F$11="Amortissable différé partiel",Simulation!$F$11="Amortissable différé total"),Simulation!$F$24*12),IF(AND(B35&lt;=Simulation!$F$12,OR(Simulation!$F$11="Amortissable différé partiel",Simulation!$F$11="Amortissable différé total")),C34*(1+(Simulation!$F$11="Amortissable différé total")*Simulation!$F$8/12),C34-D35),0)</f>
        <v>160235.21169552684</v>
      </c>
      <c r="D35" s="114">
        <f>IF(B35&lt;=MIN(Simulation!$F$10*12+Simulation!$F$12*OR(Simulation!$F$11="Amortissable différé partiel",Simulation!$F$11="Amortissable différé total"),Simulation!$F$24*12),G35-E35,0)</f>
        <v>659.74231692983255</v>
      </c>
      <c r="E35" s="114">
        <f>IF(B35&lt;=MIN(Simulation!$F$10*12+Simulation!$F$12*OR(Simulation!$F$11="Amortissable différé partiel",Simulation!$F$11="Amortissable différé total"),Simulation!$F$24*12),IF(AND(B35&lt;=Simulation!$F$12,Simulation!$F$11="Amortissable différé total"),0,C34*Simulation!$F$8/12),0)</f>
        <v>201.11869251557084</v>
      </c>
      <c r="F35" s="114">
        <f>IF(B35&lt;=MIN(Simulation!$F$10*12+Simulation!$F$12*OR(Simulation!$F$11="Amortissable différé partiel",Simulation!$F$11="Amortissable différé total"),Simulation!$F$24*12),Simulation!$E$33*Simulation!$F$9/12,0)</f>
        <v>29.733333333333334</v>
      </c>
      <c r="G35" s="115">
        <f>IF(B35&lt;=MIN(Simulation!$F$10*12+Simulation!$F$12*OR(Simulation!$F$11="Amortissable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partiel",IF(B35&lt;=Simulation!$F$12,Simulation!$E$33*Simulation!$F$8/12,PMT(Simulation!$F$8/12,Simulation!$F$10*12,-Simulation!$E$34)),IF(Simulation!$F$11="Amortissable différé total",IF(B35&lt;=Simulation!$F$12,0,PMT(Simulation!$F$8/12,Simulation!$F$10*12,-Simulation!$E$34)),IF(Simulation!$F$11="In fine",IF(B35=Simulation!$F$10*12,Simulation!$E$34,Simulation!$F$8*Simulation!$E$34/12),0)))),0)</f>
        <v>860.8610094454034</v>
      </c>
      <c r="H35" s="113">
        <f>Simulation!$C$16/12*(1+Simulation!$F$15)^INT((B35-1)/12)*(B35&lt;=Simulation!$F$24*12)</f>
        <v>1020.1</v>
      </c>
      <c r="I35" s="114">
        <f>(Simulation!$F$22-VLOOKUP(Simulation!$C$27,'Comparatif fiscal'!$B$8:$E$17,4,FALSE)-C35)*(B35=Simulation!$F$24*12)</f>
        <v>0</v>
      </c>
      <c r="J35" s="114">
        <f>(Simulation!$C$21+Simulation!$C$22)/12*(1+Simulation!$F$17)^INT((B35-1)/12)*(B35&lt;=Simulation!$F$24*12)</f>
        <v>127.5125</v>
      </c>
      <c r="K35" s="114">
        <f>(H35*Simulation!$C$24+Simulation!$C$23/12*(1+Simulation!$F$15)^INT((B35-1)/12))*(B35&lt;=Simulation!$F$24*12)</f>
        <v>105.41033333333334</v>
      </c>
      <c r="L35" s="114">
        <f>Simulation!$C$19/12*(1+Simulation!$F$18)^INT((B35-1)/12)*(B35&lt;=Simulation!$F$24*12)</f>
        <v>51.005000000000003</v>
      </c>
      <c r="M35" s="114">
        <f>(Simulation!$C$20/12*(1+Simulation!$F$19)^INT((B35-1)/12)+F35)*(B35&lt;=Simulation!$F$24*12)</f>
        <v>38.234166666666667</v>
      </c>
      <c r="N35" s="114">
        <f ca="1">SUMIF('Détail fiscalité'!$B$8:$B$37,INT(B35/12),'Détail fiscalité'!$CI$8:$CI$37)/12+SUMIF('Détail fiscalité'!$B$8:$B$37,B35/12,'Détail fiscalité'!$CI$8:$CI$37)-SUMIF('Détail fiscalité'!$B$8:$B$37,B35/12-1,'Détail fiscalité'!$CI$8:$CI$37)</f>
        <v>0</v>
      </c>
      <c r="O35" s="116">
        <f t="shared" ca="1" si="5"/>
        <v>-162.92300944540341</v>
      </c>
      <c r="Q35" s="40">
        <f t="shared" si="1"/>
        <v>28</v>
      </c>
      <c r="R35" s="126">
        <f t="shared" si="16"/>
        <v>0</v>
      </c>
      <c r="S35" s="108">
        <f t="shared" si="7"/>
        <v>0</v>
      </c>
      <c r="T35" s="108">
        <f t="shared" si="8"/>
        <v>0</v>
      </c>
      <c r="U35" s="108">
        <f t="shared" si="9"/>
        <v>0</v>
      </c>
      <c r="V35" s="54">
        <f t="shared" si="10"/>
        <v>0</v>
      </c>
      <c r="W35" s="126">
        <f t="shared" si="11"/>
        <v>0</v>
      </c>
      <c r="X35" s="108">
        <f t="shared" si="11"/>
        <v>0</v>
      </c>
      <c r="Y35" s="108">
        <f t="shared" si="12"/>
        <v>0</v>
      </c>
      <c r="Z35" s="108">
        <f t="shared" si="13"/>
        <v>0</v>
      </c>
      <c r="AA35" s="108">
        <f t="shared" si="14"/>
        <v>0</v>
      </c>
      <c r="AB35" s="108">
        <f t="shared" si="15"/>
        <v>0</v>
      </c>
      <c r="AC35" s="108">
        <f t="shared" ca="1" si="3"/>
        <v>0</v>
      </c>
      <c r="AD35" s="127">
        <f t="shared" ca="1" si="4"/>
        <v>0</v>
      </c>
      <c r="AE35" s="42"/>
    </row>
    <row r="36" spans="2:31" x14ac:dyDescent="0.15">
      <c r="B36" s="40">
        <f t="shared" si="0"/>
        <v>29</v>
      </c>
      <c r="C36" s="113">
        <f>IF(B36&lt;=MIN(Simulation!$F$10*12+Simulation!$F$12*OR(Simulation!$F$11="Amortissable différé partiel",Simulation!$F$11="Amortissable différé total"),Simulation!$F$24*12),IF(AND(B36&lt;=Simulation!$F$12,OR(Simulation!$F$11="Amortissable différé partiel",Simulation!$F$11="Amortissable différé total")),C35*(1+(Simulation!$F$11="Amortissable différé total")*Simulation!$F$8/12),C35-D36),0)</f>
        <v>159574.64470070085</v>
      </c>
      <c r="D36" s="114">
        <f>IF(B36&lt;=MIN(Simulation!$F$10*12+Simulation!$F$12*OR(Simulation!$F$11="Amortissable différé partiel",Simulation!$F$11="Amortissable différé total"),Simulation!$F$24*12),G36-E36,0)</f>
        <v>660.56699482599481</v>
      </c>
      <c r="E36" s="114">
        <f>IF(B36&lt;=MIN(Simulation!$F$10*12+Simulation!$F$12*OR(Simulation!$F$11="Amortissable différé partiel",Simulation!$F$11="Amortissable différé total"),Simulation!$F$24*12),IF(AND(B36&lt;=Simulation!$F$12,Simulation!$F$11="Amortissable différé total"),0,C35*Simulation!$F$8/12),0)</f>
        <v>200.29401461940856</v>
      </c>
      <c r="F36" s="114">
        <f>IF(B36&lt;=MIN(Simulation!$F$10*12+Simulation!$F$12*OR(Simulation!$F$11="Amortissable différé partiel",Simulation!$F$11="Amortissable différé total"),Simulation!$F$24*12),Simulation!$E$33*Simulation!$F$9/12,0)</f>
        <v>29.733333333333334</v>
      </c>
      <c r="G36" s="115">
        <f>IF(B36&lt;=MIN(Simulation!$F$10*12+Simulation!$F$12*OR(Simulation!$F$11="Amortissable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partiel",IF(B36&lt;=Simulation!$F$12,Simulation!$E$33*Simulation!$F$8/12,PMT(Simulation!$F$8/12,Simulation!$F$10*12,-Simulation!$E$34)),IF(Simulation!$F$11="Amortissable différé total",IF(B36&lt;=Simulation!$F$12,0,PMT(Simulation!$F$8/12,Simulation!$F$10*12,-Simulation!$E$34)),IF(Simulation!$F$11="In fine",IF(B36=Simulation!$F$10*12,Simulation!$E$34,Simulation!$F$8*Simulation!$E$34/12),0)))),0)</f>
        <v>860.8610094454034</v>
      </c>
      <c r="H36" s="113">
        <f>Simulation!$C$16/12*(1+Simulation!$F$15)^INT((B36-1)/12)*(B36&lt;=Simulation!$F$24*12)</f>
        <v>1020.1</v>
      </c>
      <c r="I36" s="114">
        <f>(Simulation!$F$22-VLOOKUP(Simulation!$C$27,'Comparatif fiscal'!$B$8:$E$17,4,FALSE)-C36)*(B36=Simulation!$F$24*12)</f>
        <v>0</v>
      </c>
      <c r="J36" s="114">
        <f>(Simulation!$C$21+Simulation!$C$22)/12*(1+Simulation!$F$17)^INT((B36-1)/12)*(B36&lt;=Simulation!$F$24*12)</f>
        <v>127.5125</v>
      </c>
      <c r="K36" s="114">
        <f>(H36*Simulation!$C$24+Simulation!$C$23/12*(1+Simulation!$F$15)^INT((B36-1)/12))*(B36&lt;=Simulation!$F$24*12)</f>
        <v>105.41033333333334</v>
      </c>
      <c r="L36" s="114">
        <f>Simulation!$C$19/12*(1+Simulation!$F$18)^INT((B36-1)/12)*(B36&lt;=Simulation!$F$24*12)</f>
        <v>51.005000000000003</v>
      </c>
      <c r="M36" s="114">
        <f>(Simulation!$C$20/12*(1+Simulation!$F$19)^INT((B36-1)/12)+F36)*(B36&lt;=Simulation!$F$24*12)</f>
        <v>38.234166666666667</v>
      </c>
      <c r="N36" s="114">
        <f ca="1">SUMIF('Détail fiscalité'!$B$8:$B$37,INT(B36/12),'Détail fiscalité'!$CI$8:$CI$37)/12+SUMIF('Détail fiscalité'!$B$8:$B$37,B36/12,'Détail fiscalité'!$CI$8:$CI$37)-SUMIF('Détail fiscalité'!$B$8:$B$37,B36/12-1,'Détail fiscalité'!$CI$8:$CI$37)</f>
        <v>0</v>
      </c>
      <c r="O36" s="116">
        <f t="shared" ca="1" si="5"/>
        <v>-162.92300944540341</v>
      </c>
      <c r="Q36" s="40">
        <f t="shared" si="1"/>
        <v>29</v>
      </c>
      <c r="R36" s="126">
        <f t="shared" si="16"/>
        <v>0</v>
      </c>
      <c r="S36" s="108">
        <f t="shared" si="7"/>
        <v>0</v>
      </c>
      <c r="T36" s="108">
        <f t="shared" si="8"/>
        <v>0</v>
      </c>
      <c r="U36" s="108">
        <f t="shared" si="9"/>
        <v>0</v>
      </c>
      <c r="V36" s="54">
        <f t="shared" si="10"/>
        <v>0</v>
      </c>
      <c r="W36" s="126">
        <f t="shared" si="11"/>
        <v>0</v>
      </c>
      <c r="X36" s="108">
        <f t="shared" si="11"/>
        <v>0</v>
      </c>
      <c r="Y36" s="108">
        <f t="shared" si="12"/>
        <v>0</v>
      </c>
      <c r="Z36" s="108">
        <f t="shared" si="13"/>
        <v>0</v>
      </c>
      <c r="AA36" s="108">
        <f t="shared" si="14"/>
        <v>0</v>
      </c>
      <c r="AB36" s="108">
        <f t="shared" si="15"/>
        <v>0</v>
      </c>
      <c r="AC36" s="108">
        <f t="shared" ca="1" si="3"/>
        <v>0</v>
      </c>
      <c r="AD36" s="127">
        <f t="shared" ca="1" si="4"/>
        <v>0</v>
      </c>
      <c r="AE36" s="42"/>
    </row>
    <row r="37" spans="2:31" x14ac:dyDescent="0.15">
      <c r="B37" s="40">
        <f t="shared" si="0"/>
        <v>30</v>
      </c>
      <c r="C37" s="113">
        <f>IF(B37&lt;=MIN(Simulation!$F$10*12+Simulation!$F$12*OR(Simulation!$F$11="Amortissable différé partiel",Simulation!$F$11="Amortissable différé total"),Simulation!$F$24*12),IF(AND(B37&lt;=Simulation!$F$12,OR(Simulation!$F$11="Amortissable différé partiel",Simulation!$F$11="Amortissable différé total")),C36*(1+(Simulation!$F$11="Amortissable différé total")*Simulation!$F$8/12),C36-D37),0)</f>
        <v>158913.25199713133</v>
      </c>
      <c r="D37" s="114">
        <f>IF(B37&lt;=MIN(Simulation!$F$10*12+Simulation!$F$12*OR(Simulation!$F$11="Amortissable différé partiel",Simulation!$F$11="Amortissable différé total"),Simulation!$F$24*12),G37-E37,0)</f>
        <v>661.39270356952738</v>
      </c>
      <c r="E37" s="114">
        <f>IF(B37&lt;=MIN(Simulation!$F$10*12+Simulation!$F$12*OR(Simulation!$F$11="Amortissable différé partiel",Simulation!$F$11="Amortissable différé total"),Simulation!$F$24*12),IF(AND(B37&lt;=Simulation!$F$12,Simulation!$F$11="Amortissable différé total"),0,C36*Simulation!$F$8/12),0)</f>
        <v>199.46830587587604</v>
      </c>
      <c r="F37" s="114">
        <f>IF(B37&lt;=MIN(Simulation!$F$10*12+Simulation!$F$12*OR(Simulation!$F$11="Amortissable différé partiel",Simulation!$F$11="Amortissable différé total"),Simulation!$F$24*12),Simulation!$E$33*Simulation!$F$9/12,0)</f>
        <v>29.733333333333334</v>
      </c>
      <c r="G37" s="115">
        <f>IF(B37&lt;=MIN(Simulation!$F$10*12+Simulation!$F$12*OR(Simulation!$F$11="Amortissable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partiel",IF(B37&lt;=Simulation!$F$12,Simulation!$E$33*Simulation!$F$8/12,PMT(Simulation!$F$8/12,Simulation!$F$10*12,-Simulation!$E$34)),IF(Simulation!$F$11="Amortissable différé total",IF(B37&lt;=Simulation!$F$12,0,PMT(Simulation!$F$8/12,Simulation!$F$10*12,-Simulation!$E$34)),IF(Simulation!$F$11="In fine",IF(B37=Simulation!$F$10*12,Simulation!$E$34,Simulation!$F$8*Simulation!$E$34/12),0)))),0)</f>
        <v>860.8610094454034</v>
      </c>
      <c r="H37" s="113">
        <f>Simulation!$C$16/12*(1+Simulation!$F$15)^INT((B37-1)/12)*(B37&lt;=Simulation!$F$24*12)</f>
        <v>1020.1</v>
      </c>
      <c r="I37" s="114">
        <f>(Simulation!$F$22-VLOOKUP(Simulation!$C$27,'Comparatif fiscal'!$B$8:$E$17,4,FALSE)-C37)*(B37=Simulation!$F$24*12)</f>
        <v>0</v>
      </c>
      <c r="J37" s="114">
        <f>(Simulation!$C$21+Simulation!$C$22)/12*(1+Simulation!$F$17)^INT((B37-1)/12)*(B37&lt;=Simulation!$F$24*12)</f>
        <v>127.5125</v>
      </c>
      <c r="K37" s="114">
        <f>(H37*Simulation!$C$24+Simulation!$C$23/12*(1+Simulation!$F$15)^INT((B37-1)/12))*(B37&lt;=Simulation!$F$24*12)</f>
        <v>105.41033333333334</v>
      </c>
      <c r="L37" s="114">
        <f>Simulation!$C$19/12*(1+Simulation!$F$18)^INT((B37-1)/12)*(B37&lt;=Simulation!$F$24*12)</f>
        <v>51.005000000000003</v>
      </c>
      <c r="M37" s="114">
        <f>(Simulation!$C$20/12*(1+Simulation!$F$19)^INT((B37-1)/12)+F37)*(B37&lt;=Simulation!$F$24*12)</f>
        <v>38.234166666666667</v>
      </c>
      <c r="N37" s="114">
        <f ca="1">SUMIF('Détail fiscalité'!$B$8:$B$37,INT(B37/12),'Détail fiscalité'!$CI$8:$CI$37)/12+SUMIF('Détail fiscalité'!$B$8:$B$37,B37/12,'Détail fiscalité'!$CI$8:$CI$37)-SUMIF('Détail fiscalité'!$B$8:$B$37,B37/12-1,'Détail fiscalité'!$CI$8:$CI$37)</f>
        <v>0</v>
      </c>
      <c r="O37" s="116">
        <f t="shared" ca="1" si="5"/>
        <v>-162.92300944540341</v>
      </c>
      <c r="Q37" s="43">
        <f t="shared" si="1"/>
        <v>30</v>
      </c>
      <c r="R37" s="128">
        <f t="shared" si="16"/>
        <v>0</v>
      </c>
      <c r="S37" s="109">
        <f t="shared" si="7"/>
        <v>0</v>
      </c>
      <c r="T37" s="109">
        <f t="shared" si="8"/>
        <v>0</v>
      </c>
      <c r="U37" s="109">
        <f t="shared" si="9"/>
        <v>0</v>
      </c>
      <c r="V37" s="55">
        <f t="shared" si="10"/>
        <v>0</v>
      </c>
      <c r="W37" s="128">
        <f t="shared" si="11"/>
        <v>0</v>
      </c>
      <c r="X37" s="109">
        <f t="shared" si="11"/>
        <v>0</v>
      </c>
      <c r="Y37" s="109">
        <f t="shared" si="12"/>
        <v>0</v>
      </c>
      <c r="Z37" s="109">
        <f t="shared" si="13"/>
        <v>0</v>
      </c>
      <c r="AA37" s="109">
        <f t="shared" si="14"/>
        <v>0</v>
      </c>
      <c r="AB37" s="109">
        <f t="shared" si="15"/>
        <v>0</v>
      </c>
      <c r="AC37" s="109">
        <f t="shared" ca="1" si="3"/>
        <v>0</v>
      </c>
      <c r="AD37" s="129">
        <f t="shared" ca="1" si="4"/>
        <v>0</v>
      </c>
      <c r="AE37" s="42"/>
    </row>
    <row r="38" spans="2:31" x14ac:dyDescent="0.15">
      <c r="B38" s="40">
        <f t="shared" si="0"/>
        <v>31</v>
      </c>
      <c r="C38" s="113">
        <f>IF(B38&lt;=MIN(Simulation!$F$10*12+Simulation!$F$12*OR(Simulation!$F$11="Amortissable différé partiel",Simulation!$F$11="Amortissable différé total"),Simulation!$F$24*12),IF(AND(B38&lt;=Simulation!$F$12,OR(Simulation!$F$11="Amortissable différé partiel",Simulation!$F$11="Amortissable différé total")),C37*(1+(Simulation!$F$11="Amortissable différé total")*Simulation!$F$8/12),C37-D38),0)</f>
        <v>158251.03255268233</v>
      </c>
      <c r="D38" s="114">
        <f>IF(B38&lt;=MIN(Simulation!$F$10*12+Simulation!$F$12*OR(Simulation!$F$11="Amortissable différé partiel",Simulation!$F$11="Amortissable différé total"),Simulation!$F$24*12),G38-E38,0)</f>
        <v>662.21944444898929</v>
      </c>
      <c r="E38" s="114">
        <f>IF(B38&lt;=MIN(Simulation!$F$10*12+Simulation!$F$12*OR(Simulation!$F$11="Amortissable différé partiel",Simulation!$F$11="Amortissable différé total"),Simulation!$F$24*12),IF(AND(B38&lt;=Simulation!$F$12,Simulation!$F$11="Amortissable différé total"),0,C37*Simulation!$F$8/12),0)</f>
        <v>198.64156499641413</v>
      </c>
      <c r="F38" s="114">
        <f>IF(B38&lt;=MIN(Simulation!$F$10*12+Simulation!$F$12*OR(Simulation!$F$11="Amortissable différé partiel",Simulation!$F$11="Amortissable différé total"),Simulation!$F$24*12),Simulation!$E$33*Simulation!$F$9/12,0)</f>
        <v>29.733333333333334</v>
      </c>
      <c r="G38" s="115">
        <f>IF(B38&lt;=MIN(Simulation!$F$10*12+Simulation!$F$12*OR(Simulation!$F$11="Amortissable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partiel",IF(B38&lt;=Simulation!$F$12,Simulation!$E$33*Simulation!$F$8/12,PMT(Simulation!$F$8/12,Simulation!$F$10*12,-Simulation!$E$34)),IF(Simulation!$F$11="Amortissable différé total",IF(B38&lt;=Simulation!$F$12,0,PMT(Simulation!$F$8/12,Simulation!$F$10*12,-Simulation!$E$34)),IF(Simulation!$F$11="In fine",IF(B38=Simulation!$F$10*12,Simulation!$E$34,Simulation!$F$8*Simulation!$E$34/12),0)))),0)</f>
        <v>860.8610094454034</v>
      </c>
      <c r="H38" s="113">
        <f>Simulation!$C$16/12*(1+Simulation!$F$15)^INT((B38-1)/12)*(B38&lt;=Simulation!$F$24*12)</f>
        <v>1020.1</v>
      </c>
      <c r="I38" s="114">
        <f>(Simulation!$F$22-VLOOKUP(Simulation!$C$27,'Comparatif fiscal'!$B$8:$E$17,4,FALSE)-C38)*(B38=Simulation!$F$24*12)</f>
        <v>0</v>
      </c>
      <c r="J38" s="114">
        <f>(Simulation!$C$21+Simulation!$C$22)/12*(1+Simulation!$F$17)^INT((B38-1)/12)*(B38&lt;=Simulation!$F$24*12)</f>
        <v>127.5125</v>
      </c>
      <c r="K38" s="114">
        <f>(H38*Simulation!$C$24+Simulation!$C$23/12*(1+Simulation!$F$15)^INT((B38-1)/12))*(B38&lt;=Simulation!$F$24*12)</f>
        <v>105.41033333333334</v>
      </c>
      <c r="L38" s="114">
        <f>Simulation!$C$19/12*(1+Simulation!$F$18)^INT((B38-1)/12)*(B38&lt;=Simulation!$F$24*12)</f>
        <v>51.005000000000003</v>
      </c>
      <c r="M38" s="114">
        <f>(Simulation!$C$20/12*(1+Simulation!$F$19)^INT((B38-1)/12)+F38)*(B38&lt;=Simulation!$F$24*12)</f>
        <v>38.234166666666667</v>
      </c>
      <c r="N38" s="114">
        <f ca="1">SUMIF('Détail fiscalité'!$B$8:$B$37,INT(B38/12),'Détail fiscalité'!$CI$8:$CI$37)/12+SUMIF('Détail fiscalité'!$B$8:$B$37,B38/12,'Détail fiscalité'!$CI$8:$CI$37)-SUMIF('Détail fiscalité'!$B$8:$B$37,B38/12-1,'Détail fiscalité'!$CI$8:$CI$37)</f>
        <v>0</v>
      </c>
      <c r="O38" s="116">
        <f t="shared" ca="1" si="5"/>
        <v>-162.92300944540341</v>
      </c>
    </row>
    <row r="39" spans="2:31" x14ac:dyDescent="0.15">
      <c r="B39" s="40">
        <f t="shared" si="0"/>
        <v>32</v>
      </c>
      <c r="C39" s="113">
        <f>IF(B39&lt;=MIN(Simulation!$F$10*12+Simulation!$F$12*OR(Simulation!$F$11="Amortissable différé partiel",Simulation!$F$11="Amortissable différé total"),Simulation!$F$24*12),IF(AND(B39&lt;=Simulation!$F$12,OR(Simulation!$F$11="Amortissable différé partiel",Simulation!$F$11="Amortissable différé total")),C38*(1+(Simulation!$F$11="Amortissable différé total")*Simulation!$F$8/12),C38-D39),0)</f>
        <v>157587.98533392779</v>
      </c>
      <c r="D39" s="114">
        <f>IF(B39&lt;=MIN(Simulation!$F$10*12+Simulation!$F$12*OR(Simulation!$F$11="Amortissable différé partiel",Simulation!$F$11="Amortissable différé total"),Simulation!$F$24*12),G39-E39,0)</f>
        <v>663.0472187545505</v>
      </c>
      <c r="E39" s="114">
        <f>IF(B39&lt;=MIN(Simulation!$F$10*12+Simulation!$F$12*OR(Simulation!$F$11="Amortissable différé partiel",Simulation!$F$11="Amortissable différé total"),Simulation!$F$24*12),IF(AND(B39&lt;=Simulation!$F$12,Simulation!$F$11="Amortissable différé total"),0,C38*Simulation!$F$8/12),0)</f>
        <v>197.8137906908529</v>
      </c>
      <c r="F39" s="114">
        <f>IF(B39&lt;=MIN(Simulation!$F$10*12+Simulation!$F$12*OR(Simulation!$F$11="Amortissable différé partiel",Simulation!$F$11="Amortissable différé total"),Simulation!$F$24*12),Simulation!$E$33*Simulation!$F$9/12,0)</f>
        <v>29.733333333333334</v>
      </c>
      <c r="G39" s="115">
        <f>IF(B39&lt;=MIN(Simulation!$F$10*12+Simulation!$F$12*OR(Simulation!$F$11="Amortissable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partiel",IF(B39&lt;=Simulation!$F$12,Simulation!$E$33*Simulation!$F$8/12,PMT(Simulation!$F$8/12,Simulation!$F$10*12,-Simulation!$E$34)),IF(Simulation!$F$11="Amortissable différé total",IF(B39&lt;=Simulation!$F$12,0,PMT(Simulation!$F$8/12,Simulation!$F$10*12,-Simulation!$E$34)),IF(Simulation!$F$11="In fine",IF(B39=Simulation!$F$10*12,Simulation!$E$34,Simulation!$F$8*Simulation!$E$34/12),0)))),0)</f>
        <v>860.8610094454034</v>
      </c>
      <c r="H39" s="113">
        <f>Simulation!$C$16/12*(1+Simulation!$F$15)^INT((B39-1)/12)*(B39&lt;=Simulation!$F$24*12)</f>
        <v>1020.1</v>
      </c>
      <c r="I39" s="114">
        <f>(Simulation!$F$22-VLOOKUP(Simulation!$C$27,'Comparatif fiscal'!$B$8:$E$17,4,FALSE)-C39)*(B39=Simulation!$F$24*12)</f>
        <v>0</v>
      </c>
      <c r="J39" s="114">
        <f>(Simulation!$C$21+Simulation!$C$22)/12*(1+Simulation!$F$17)^INT((B39-1)/12)*(B39&lt;=Simulation!$F$24*12)</f>
        <v>127.5125</v>
      </c>
      <c r="K39" s="114">
        <f>(H39*Simulation!$C$24+Simulation!$C$23/12*(1+Simulation!$F$15)^INT((B39-1)/12))*(B39&lt;=Simulation!$F$24*12)</f>
        <v>105.41033333333334</v>
      </c>
      <c r="L39" s="114">
        <f>Simulation!$C$19/12*(1+Simulation!$F$18)^INT((B39-1)/12)*(B39&lt;=Simulation!$F$24*12)</f>
        <v>51.005000000000003</v>
      </c>
      <c r="M39" s="114">
        <f>(Simulation!$C$20/12*(1+Simulation!$F$19)^INT((B39-1)/12)+F39)*(B39&lt;=Simulation!$F$24*12)</f>
        <v>38.234166666666667</v>
      </c>
      <c r="N39" s="114">
        <f ca="1">SUMIF('Détail fiscalité'!$B$8:$B$37,INT(B39/12),'Détail fiscalité'!$CI$8:$CI$37)/12+SUMIF('Détail fiscalité'!$B$8:$B$37,B39/12,'Détail fiscalité'!$CI$8:$CI$37)-SUMIF('Détail fiscalité'!$B$8:$B$37,B39/12-1,'Détail fiscalité'!$CI$8:$CI$37)</f>
        <v>0</v>
      </c>
      <c r="O39" s="116">
        <f t="shared" ca="1" si="5"/>
        <v>-162.92300944540341</v>
      </c>
      <c r="AE39" s="42"/>
    </row>
    <row r="40" spans="2:31" x14ac:dyDescent="0.15">
      <c r="B40" s="40">
        <f t="shared" si="0"/>
        <v>33</v>
      </c>
      <c r="C40" s="113">
        <f>IF(B40&lt;=MIN(Simulation!$F$10*12+Simulation!$F$12*OR(Simulation!$F$11="Amortissable différé partiel",Simulation!$F$11="Amortissable différé total"),Simulation!$F$24*12),IF(AND(B40&lt;=Simulation!$F$12,OR(Simulation!$F$11="Amortissable différé partiel",Simulation!$F$11="Amortissable différé total")),C39*(1+(Simulation!$F$11="Amortissable différé total")*Simulation!$F$8/12),C39-D40),0)</f>
        <v>156924.1093061498</v>
      </c>
      <c r="D40" s="114">
        <f>IF(B40&lt;=MIN(Simulation!$F$10*12+Simulation!$F$12*OR(Simulation!$F$11="Amortissable différé partiel",Simulation!$F$11="Amortissable différé total"),Simulation!$F$24*12),G40-E40,0)</f>
        <v>663.87602777799361</v>
      </c>
      <c r="E40" s="114">
        <f>IF(B40&lt;=MIN(Simulation!$F$10*12+Simulation!$F$12*OR(Simulation!$F$11="Amortissable différé partiel",Simulation!$F$11="Amortissable différé total"),Simulation!$F$24*12),IF(AND(B40&lt;=Simulation!$F$12,Simulation!$F$11="Amortissable différé total"),0,C39*Simulation!$F$8/12),0)</f>
        <v>196.98498166740976</v>
      </c>
      <c r="F40" s="114">
        <f>IF(B40&lt;=MIN(Simulation!$F$10*12+Simulation!$F$12*OR(Simulation!$F$11="Amortissable différé partiel",Simulation!$F$11="Amortissable différé total"),Simulation!$F$24*12),Simulation!$E$33*Simulation!$F$9/12,0)</f>
        <v>29.733333333333334</v>
      </c>
      <c r="G40" s="115">
        <f>IF(B40&lt;=MIN(Simulation!$F$10*12+Simulation!$F$12*OR(Simulation!$F$11="Amortissable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partiel",IF(B40&lt;=Simulation!$F$12,Simulation!$E$33*Simulation!$F$8/12,PMT(Simulation!$F$8/12,Simulation!$F$10*12,-Simulation!$E$34)),IF(Simulation!$F$11="Amortissable différé total",IF(B40&lt;=Simulation!$F$12,0,PMT(Simulation!$F$8/12,Simulation!$F$10*12,-Simulation!$E$34)),IF(Simulation!$F$11="In fine",IF(B40=Simulation!$F$10*12,Simulation!$E$34,Simulation!$F$8*Simulation!$E$34/12),0)))),0)</f>
        <v>860.8610094454034</v>
      </c>
      <c r="H40" s="113">
        <f>Simulation!$C$16/12*(1+Simulation!$F$15)^INT((B40-1)/12)*(B40&lt;=Simulation!$F$24*12)</f>
        <v>1020.1</v>
      </c>
      <c r="I40" s="114">
        <f>(Simulation!$F$22-VLOOKUP(Simulation!$C$27,'Comparatif fiscal'!$B$8:$E$17,4,FALSE)-C40)*(B40=Simulation!$F$24*12)</f>
        <v>0</v>
      </c>
      <c r="J40" s="114">
        <f>(Simulation!$C$21+Simulation!$C$22)/12*(1+Simulation!$F$17)^INT((B40-1)/12)*(B40&lt;=Simulation!$F$24*12)</f>
        <v>127.5125</v>
      </c>
      <c r="K40" s="114">
        <f>(H40*Simulation!$C$24+Simulation!$C$23/12*(1+Simulation!$F$15)^INT((B40-1)/12))*(B40&lt;=Simulation!$F$24*12)</f>
        <v>105.41033333333334</v>
      </c>
      <c r="L40" s="114">
        <f>Simulation!$C$19/12*(1+Simulation!$F$18)^INT((B40-1)/12)*(B40&lt;=Simulation!$F$24*12)</f>
        <v>51.005000000000003</v>
      </c>
      <c r="M40" s="114">
        <f>(Simulation!$C$20/12*(1+Simulation!$F$19)^INT((B40-1)/12)+F40)*(B40&lt;=Simulation!$F$24*12)</f>
        <v>38.234166666666667</v>
      </c>
      <c r="N40" s="114">
        <f ca="1">SUMIF('Détail fiscalité'!$B$8:$B$37,INT(B40/12),'Détail fiscalité'!$CI$8:$CI$37)/12+SUMIF('Détail fiscalité'!$B$8:$B$37,B40/12,'Détail fiscalité'!$CI$8:$CI$37)-SUMIF('Détail fiscalité'!$B$8:$B$37,B40/12-1,'Détail fiscalité'!$CI$8:$CI$37)</f>
        <v>0</v>
      </c>
      <c r="O40" s="116">
        <f t="shared" ca="1" si="5"/>
        <v>-162.92300944540341</v>
      </c>
    </row>
    <row r="41" spans="2:31" x14ac:dyDescent="0.15">
      <c r="B41" s="40">
        <f t="shared" si="0"/>
        <v>34</v>
      </c>
      <c r="C41" s="113">
        <f>IF(B41&lt;=MIN(Simulation!$F$10*12+Simulation!$F$12*OR(Simulation!$F$11="Amortissable différé partiel",Simulation!$F$11="Amortissable différé total"),Simulation!$F$24*12),IF(AND(B41&lt;=Simulation!$F$12,OR(Simulation!$F$11="Amortissable différé partiel",Simulation!$F$11="Amortissable différé total")),C40*(1+(Simulation!$F$11="Amortissable différé total")*Simulation!$F$8/12),C40-D41),0)</f>
        <v>156259.40343333708</v>
      </c>
      <c r="D41" s="114">
        <f>IF(B41&lt;=MIN(Simulation!$F$10*12+Simulation!$F$12*OR(Simulation!$F$11="Amortissable différé partiel",Simulation!$F$11="Amortissable différé total"),Simulation!$F$24*12),G41-E41,0)</f>
        <v>664.70587281271617</v>
      </c>
      <c r="E41" s="114">
        <f>IF(B41&lt;=MIN(Simulation!$F$10*12+Simulation!$F$12*OR(Simulation!$F$11="Amortissable différé partiel",Simulation!$F$11="Amortissable différé total"),Simulation!$F$24*12),IF(AND(B41&lt;=Simulation!$F$12,Simulation!$F$11="Amortissable différé total"),0,C40*Simulation!$F$8/12),0)</f>
        <v>196.15513663268723</v>
      </c>
      <c r="F41" s="114">
        <f>IF(B41&lt;=MIN(Simulation!$F$10*12+Simulation!$F$12*OR(Simulation!$F$11="Amortissable différé partiel",Simulation!$F$11="Amortissable différé total"),Simulation!$F$24*12),Simulation!$E$33*Simulation!$F$9/12,0)</f>
        <v>29.733333333333334</v>
      </c>
      <c r="G41" s="115">
        <f>IF(B41&lt;=MIN(Simulation!$F$10*12+Simulation!$F$12*OR(Simulation!$F$11="Amortissable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partiel",IF(B41&lt;=Simulation!$F$12,Simulation!$E$33*Simulation!$F$8/12,PMT(Simulation!$F$8/12,Simulation!$F$10*12,-Simulation!$E$34)),IF(Simulation!$F$11="Amortissable différé total",IF(B41&lt;=Simulation!$F$12,0,PMT(Simulation!$F$8/12,Simulation!$F$10*12,-Simulation!$E$34)),IF(Simulation!$F$11="In fine",IF(B41=Simulation!$F$10*12,Simulation!$E$34,Simulation!$F$8*Simulation!$E$34/12),0)))),0)</f>
        <v>860.8610094454034</v>
      </c>
      <c r="H41" s="113">
        <f>Simulation!$C$16/12*(1+Simulation!$F$15)^INT((B41-1)/12)*(B41&lt;=Simulation!$F$24*12)</f>
        <v>1020.1</v>
      </c>
      <c r="I41" s="114">
        <f>(Simulation!$F$22-VLOOKUP(Simulation!$C$27,'Comparatif fiscal'!$B$8:$E$17,4,FALSE)-C41)*(B41=Simulation!$F$24*12)</f>
        <v>0</v>
      </c>
      <c r="J41" s="114">
        <f>(Simulation!$C$21+Simulation!$C$22)/12*(1+Simulation!$F$17)^INT((B41-1)/12)*(B41&lt;=Simulation!$F$24*12)</f>
        <v>127.5125</v>
      </c>
      <c r="K41" s="114">
        <f>(H41*Simulation!$C$24+Simulation!$C$23/12*(1+Simulation!$F$15)^INT((B41-1)/12))*(B41&lt;=Simulation!$F$24*12)</f>
        <v>105.41033333333334</v>
      </c>
      <c r="L41" s="114">
        <f>Simulation!$C$19/12*(1+Simulation!$F$18)^INT((B41-1)/12)*(B41&lt;=Simulation!$F$24*12)</f>
        <v>51.005000000000003</v>
      </c>
      <c r="M41" s="114">
        <f>(Simulation!$C$20/12*(1+Simulation!$F$19)^INT((B41-1)/12)+F41)*(B41&lt;=Simulation!$F$24*12)</f>
        <v>38.234166666666667</v>
      </c>
      <c r="N41" s="114">
        <f ca="1">SUMIF('Détail fiscalité'!$B$8:$B$37,INT(B41/12),'Détail fiscalité'!$CI$8:$CI$37)/12+SUMIF('Détail fiscalité'!$B$8:$B$37,B41/12,'Détail fiscalité'!$CI$8:$CI$37)-SUMIF('Détail fiscalité'!$B$8:$B$37,B41/12-1,'Détail fiscalité'!$CI$8:$CI$37)</f>
        <v>0</v>
      </c>
      <c r="O41" s="116">
        <f t="shared" ca="1" si="5"/>
        <v>-162.92300944540341</v>
      </c>
    </row>
    <row r="42" spans="2:31" x14ac:dyDescent="0.15">
      <c r="B42" s="40">
        <f t="shared" si="0"/>
        <v>35</v>
      </c>
      <c r="C42" s="113">
        <f>IF(B42&lt;=MIN(Simulation!$F$10*12+Simulation!$F$12*OR(Simulation!$F$11="Amortissable différé partiel",Simulation!$F$11="Amortissable différé total"),Simulation!$F$24*12),IF(AND(B42&lt;=Simulation!$F$12,OR(Simulation!$F$11="Amortissable différé partiel",Simulation!$F$11="Amortissable différé total")),C41*(1+(Simulation!$F$11="Amortissable différé total")*Simulation!$F$8/12),C41-D42),0)</f>
        <v>155593.86667818335</v>
      </c>
      <c r="D42" s="114">
        <f>IF(B42&lt;=MIN(Simulation!$F$10*12+Simulation!$F$12*OR(Simulation!$F$11="Amortissable différé partiel",Simulation!$F$11="Amortissable différé total"),Simulation!$F$24*12),G42-E42,0)</f>
        <v>665.53675515373209</v>
      </c>
      <c r="E42" s="114">
        <f>IF(B42&lt;=MIN(Simulation!$F$10*12+Simulation!$F$12*OR(Simulation!$F$11="Amortissable différé partiel",Simulation!$F$11="Amortissable différé total"),Simulation!$F$24*12),IF(AND(B42&lt;=Simulation!$F$12,Simulation!$F$11="Amortissable différé total"),0,C41*Simulation!$F$8/12),0)</f>
        <v>195.32425429167134</v>
      </c>
      <c r="F42" s="114">
        <f>IF(B42&lt;=MIN(Simulation!$F$10*12+Simulation!$F$12*OR(Simulation!$F$11="Amortissable différé partiel",Simulation!$F$11="Amortissable différé total"),Simulation!$F$24*12),Simulation!$E$33*Simulation!$F$9/12,0)</f>
        <v>29.733333333333334</v>
      </c>
      <c r="G42" s="115">
        <f>IF(B42&lt;=MIN(Simulation!$F$10*12+Simulation!$F$12*OR(Simulation!$F$11="Amortissable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partiel",IF(B42&lt;=Simulation!$F$12,Simulation!$E$33*Simulation!$F$8/12,PMT(Simulation!$F$8/12,Simulation!$F$10*12,-Simulation!$E$34)),IF(Simulation!$F$11="Amortissable différé total",IF(B42&lt;=Simulation!$F$12,0,PMT(Simulation!$F$8/12,Simulation!$F$10*12,-Simulation!$E$34)),IF(Simulation!$F$11="In fine",IF(B42=Simulation!$F$10*12,Simulation!$E$34,Simulation!$F$8*Simulation!$E$34/12),0)))),0)</f>
        <v>860.8610094454034</v>
      </c>
      <c r="H42" s="113">
        <f>Simulation!$C$16/12*(1+Simulation!$F$15)^INT((B42-1)/12)*(B42&lt;=Simulation!$F$24*12)</f>
        <v>1020.1</v>
      </c>
      <c r="I42" s="114">
        <f>(Simulation!$F$22-VLOOKUP(Simulation!$C$27,'Comparatif fiscal'!$B$8:$E$17,4,FALSE)-C42)*(B42=Simulation!$F$24*12)</f>
        <v>0</v>
      </c>
      <c r="J42" s="114">
        <f>(Simulation!$C$21+Simulation!$C$22)/12*(1+Simulation!$F$17)^INT((B42-1)/12)*(B42&lt;=Simulation!$F$24*12)</f>
        <v>127.5125</v>
      </c>
      <c r="K42" s="114">
        <f>(H42*Simulation!$C$24+Simulation!$C$23/12*(1+Simulation!$F$15)^INT((B42-1)/12))*(B42&lt;=Simulation!$F$24*12)</f>
        <v>105.41033333333334</v>
      </c>
      <c r="L42" s="114">
        <f>Simulation!$C$19/12*(1+Simulation!$F$18)^INT((B42-1)/12)*(B42&lt;=Simulation!$F$24*12)</f>
        <v>51.005000000000003</v>
      </c>
      <c r="M42" s="114">
        <f>(Simulation!$C$20/12*(1+Simulation!$F$19)^INT((B42-1)/12)+F42)*(B42&lt;=Simulation!$F$24*12)</f>
        <v>38.234166666666667</v>
      </c>
      <c r="N42" s="114">
        <f ca="1">SUMIF('Détail fiscalité'!$B$8:$B$37,INT(B42/12),'Détail fiscalité'!$CI$8:$CI$37)/12+SUMIF('Détail fiscalité'!$B$8:$B$37,B42/12,'Détail fiscalité'!$CI$8:$CI$37)-SUMIF('Détail fiscalité'!$B$8:$B$37,B42/12-1,'Détail fiscalité'!$CI$8:$CI$37)</f>
        <v>0</v>
      </c>
      <c r="O42" s="116">
        <f t="shared" ca="1" si="5"/>
        <v>-162.92300944540341</v>
      </c>
    </row>
    <row r="43" spans="2:31" x14ac:dyDescent="0.15">
      <c r="B43" s="40">
        <f t="shared" si="0"/>
        <v>36</v>
      </c>
      <c r="C43" s="113">
        <f>IF(B43&lt;=MIN(Simulation!$F$10*12+Simulation!$F$12*OR(Simulation!$F$11="Amortissable différé partiel",Simulation!$F$11="Amortissable différé total"),Simulation!$F$24*12),IF(AND(B43&lt;=Simulation!$F$12,OR(Simulation!$F$11="Amortissable différé partiel",Simulation!$F$11="Amortissable différé total")),C42*(1+(Simulation!$F$11="Amortissable différé total")*Simulation!$F$8/12),C42-D43),0)</f>
        <v>154927.49800208566</v>
      </c>
      <c r="D43" s="114">
        <f>IF(B43&lt;=MIN(Simulation!$F$10*12+Simulation!$F$12*OR(Simulation!$F$11="Amortissable différé partiel",Simulation!$F$11="Amortissable différé total"),Simulation!$F$24*12),G43-E43,0)</f>
        <v>666.36867609767421</v>
      </c>
      <c r="E43" s="114">
        <f>IF(B43&lt;=MIN(Simulation!$F$10*12+Simulation!$F$12*OR(Simulation!$F$11="Amortissable différé partiel",Simulation!$F$11="Amortissable différé total"),Simulation!$F$24*12),IF(AND(B43&lt;=Simulation!$F$12,Simulation!$F$11="Amortissable différé total"),0,C42*Simulation!$F$8/12),0)</f>
        <v>194.49233334772919</v>
      </c>
      <c r="F43" s="114">
        <f>IF(B43&lt;=MIN(Simulation!$F$10*12+Simulation!$F$12*OR(Simulation!$F$11="Amortissable différé partiel",Simulation!$F$11="Amortissable différé total"),Simulation!$F$24*12),Simulation!$E$33*Simulation!$F$9/12,0)</f>
        <v>29.733333333333334</v>
      </c>
      <c r="G43" s="115">
        <f>IF(B43&lt;=MIN(Simulation!$F$10*12+Simulation!$F$12*OR(Simulation!$F$11="Amortissable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partiel",IF(B43&lt;=Simulation!$F$12,Simulation!$E$33*Simulation!$F$8/12,PMT(Simulation!$F$8/12,Simulation!$F$10*12,-Simulation!$E$34)),IF(Simulation!$F$11="Amortissable différé total",IF(B43&lt;=Simulation!$F$12,0,PMT(Simulation!$F$8/12,Simulation!$F$10*12,-Simulation!$E$34)),IF(Simulation!$F$11="In fine",IF(B43=Simulation!$F$10*12,Simulation!$E$34,Simulation!$F$8*Simulation!$E$34/12),0)))),0)</f>
        <v>860.8610094454034</v>
      </c>
      <c r="H43" s="113">
        <f>Simulation!$C$16/12*(1+Simulation!$F$15)^INT((B43-1)/12)*(B43&lt;=Simulation!$F$24*12)</f>
        <v>1020.1</v>
      </c>
      <c r="I43" s="114">
        <f>(Simulation!$F$22-VLOOKUP(Simulation!$C$27,'Comparatif fiscal'!$B$8:$E$17,4,FALSE)-C43)*(B43=Simulation!$F$24*12)</f>
        <v>0</v>
      </c>
      <c r="J43" s="114">
        <f>(Simulation!$C$21+Simulation!$C$22)/12*(1+Simulation!$F$17)^INT((B43-1)/12)*(B43&lt;=Simulation!$F$24*12)</f>
        <v>127.5125</v>
      </c>
      <c r="K43" s="114">
        <f>(H43*Simulation!$C$24+Simulation!$C$23/12*(1+Simulation!$F$15)^INT((B43-1)/12))*(B43&lt;=Simulation!$F$24*12)</f>
        <v>105.41033333333334</v>
      </c>
      <c r="L43" s="114">
        <f>Simulation!$C$19/12*(1+Simulation!$F$18)^INT((B43-1)/12)*(B43&lt;=Simulation!$F$24*12)</f>
        <v>51.005000000000003</v>
      </c>
      <c r="M43" s="114">
        <f>(Simulation!$C$20/12*(1+Simulation!$F$19)^INT((B43-1)/12)+F43)*(B43&lt;=Simulation!$F$24*12)</f>
        <v>38.234166666666667</v>
      </c>
      <c r="N43" s="114">
        <f ca="1">SUMIF('Détail fiscalité'!$B$8:$B$37,INT(B43/12),'Détail fiscalité'!$CI$8:$CI$37)/12+SUMIF('Détail fiscalité'!$B$8:$B$37,B43/12,'Détail fiscalité'!$CI$8:$CI$37)-SUMIF('Détail fiscalité'!$B$8:$B$37,B43/12-1,'Détail fiscalité'!$CI$8:$CI$37)</f>
        <v>0</v>
      </c>
      <c r="O43" s="116">
        <f t="shared" ca="1" si="5"/>
        <v>-162.92300944540341</v>
      </c>
      <c r="R43" s="163"/>
    </row>
    <row r="44" spans="2:31" x14ac:dyDescent="0.15">
      <c r="B44" s="40">
        <f t="shared" si="0"/>
        <v>37</v>
      </c>
      <c r="C44" s="113">
        <f>IF(B44&lt;=MIN(Simulation!$F$10*12+Simulation!$F$12*OR(Simulation!$F$11="Amortissable différé partiel",Simulation!$F$11="Amortissable différé total"),Simulation!$F$24*12),IF(AND(B44&lt;=Simulation!$F$12,OR(Simulation!$F$11="Amortissable différé partiel",Simulation!$F$11="Amortissable différé total")),C43*(1+(Simulation!$F$11="Amortissable différé total")*Simulation!$F$8/12),C43-D44),0)</f>
        <v>154260.29636514286</v>
      </c>
      <c r="D44" s="114">
        <f>IF(B44&lt;=MIN(Simulation!$F$10*12+Simulation!$F$12*OR(Simulation!$F$11="Amortissable différé partiel",Simulation!$F$11="Amortissable différé total"),Simulation!$F$24*12),G44-E44,0)</f>
        <v>667.20163694279631</v>
      </c>
      <c r="E44" s="114">
        <f>IF(B44&lt;=MIN(Simulation!$F$10*12+Simulation!$F$12*OR(Simulation!$F$11="Amortissable différé partiel",Simulation!$F$11="Amortissable différé total"),Simulation!$F$24*12),IF(AND(B44&lt;=Simulation!$F$12,Simulation!$F$11="Amortissable différé total"),0,C43*Simulation!$F$8/12),0)</f>
        <v>193.65937250260708</v>
      </c>
      <c r="F44" s="114">
        <f>IF(B44&lt;=MIN(Simulation!$F$10*12+Simulation!$F$12*OR(Simulation!$F$11="Amortissable différé partiel",Simulation!$F$11="Amortissable différé total"),Simulation!$F$24*12),Simulation!$E$33*Simulation!$F$9/12,0)</f>
        <v>29.733333333333334</v>
      </c>
      <c r="G44" s="115">
        <f>IF(B44&lt;=MIN(Simulation!$F$10*12+Simulation!$F$12*OR(Simulation!$F$11="Amortissable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partiel",IF(B44&lt;=Simulation!$F$12,Simulation!$E$33*Simulation!$F$8/12,PMT(Simulation!$F$8/12,Simulation!$F$10*12,-Simulation!$E$34)),IF(Simulation!$F$11="Amortissable différé total",IF(B44&lt;=Simulation!$F$12,0,PMT(Simulation!$F$8/12,Simulation!$F$10*12,-Simulation!$E$34)),IF(Simulation!$F$11="In fine",IF(B44=Simulation!$F$10*12,Simulation!$E$34,Simulation!$F$8*Simulation!$E$34/12),0)))),0)</f>
        <v>860.8610094454034</v>
      </c>
      <c r="H44" s="113">
        <f>Simulation!$C$16/12*(1+Simulation!$F$15)^INT((B44-1)/12)*(B44&lt;=Simulation!$F$24*12)</f>
        <v>1030.3009999999999</v>
      </c>
      <c r="I44" s="114">
        <f>(Simulation!$F$22-VLOOKUP(Simulation!$C$27,'Comparatif fiscal'!$B$8:$E$17,4,FALSE)-C44)*(B44=Simulation!$F$24*12)</f>
        <v>0</v>
      </c>
      <c r="J44" s="114">
        <f>(Simulation!$C$21+Simulation!$C$22)/12*(1+Simulation!$F$17)^INT((B44-1)/12)*(B44&lt;=Simulation!$F$24*12)</f>
        <v>128.78762499999999</v>
      </c>
      <c r="K44" s="114">
        <f>(H44*Simulation!$C$24+Simulation!$C$23/12*(1+Simulation!$F$15)^INT((B44-1)/12))*(B44&lt;=Simulation!$F$24*12)</f>
        <v>106.46443666666667</v>
      </c>
      <c r="L44" s="114">
        <f>Simulation!$C$19/12*(1+Simulation!$F$18)^INT((B44-1)/12)*(B44&lt;=Simulation!$F$24*12)</f>
        <v>51.515049999999995</v>
      </c>
      <c r="M44" s="114">
        <f>(Simulation!$C$20/12*(1+Simulation!$F$19)^INT((B44-1)/12)+F44)*(B44&lt;=Simulation!$F$24*12)</f>
        <v>38.319175000000001</v>
      </c>
      <c r="N44" s="114">
        <f ca="1">SUMIF('Détail fiscalité'!$B$8:$B$37,INT(B44/12),'Détail fiscalité'!$CI$8:$CI$37)/12+SUMIF('Détail fiscalité'!$B$8:$B$37,B44/12,'Détail fiscalité'!$CI$8:$CI$37)-SUMIF('Détail fiscalité'!$B$8:$B$37,B44/12-1,'Détail fiscalité'!$CI$8:$CI$37)</f>
        <v>0</v>
      </c>
      <c r="O44" s="116">
        <f t="shared" ca="1" si="5"/>
        <v>-155.6462961120701</v>
      </c>
    </row>
    <row r="45" spans="2:31" x14ac:dyDescent="0.15">
      <c r="B45" s="40">
        <f t="shared" si="0"/>
        <v>38</v>
      </c>
      <c r="C45" s="113">
        <f>IF(B45&lt;=MIN(Simulation!$F$10*12+Simulation!$F$12*OR(Simulation!$F$11="Amortissable différé partiel",Simulation!$F$11="Amortissable différé total"),Simulation!$F$24*12),IF(AND(B45&lt;=Simulation!$F$12,OR(Simulation!$F$11="Amortissable différé partiel",Simulation!$F$11="Amortissable différé total")),C44*(1+(Simulation!$F$11="Amortissable différé total")*Simulation!$F$8/12),C44-D45),0)</f>
        <v>153592.26072615388</v>
      </c>
      <c r="D45" s="114">
        <f>IF(B45&lt;=MIN(Simulation!$F$10*12+Simulation!$F$12*OR(Simulation!$F$11="Amortissable différé partiel",Simulation!$F$11="Amortissable différé total"),Simulation!$F$24*12),G45-E45,0)</f>
        <v>668.03563898897482</v>
      </c>
      <c r="E45" s="114">
        <f>IF(B45&lt;=MIN(Simulation!$F$10*12+Simulation!$F$12*OR(Simulation!$F$11="Amortissable différé partiel",Simulation!$F$11="Amortissable différé total"),Simulation!$F$24*12),IF(AND(B45&lt;=Simulation!$F$12,Simulation!$F$11="Amortissable différé total"),0,C44*Simulation!$F$8/12),0)</f>
        <v>192.82537045642857</v>
      </c>
      <c r="F45" s="114">
        <f>IF(B45&lt;=MIN(Simulation!$F$10*12+Simulation!$F$12*OR(Simulation!$F$11="Amortissable différé partiel",Simulation!$F$11="Amortissable différé total"),Simulation!$F$24*12),Simulation!$E$33*Simulation!$F$9/12,0)</f>
        <v>29.733333333333334</v>
      </c>
      <c r="G45" s="115">
        <f>IF(B45&lt;=MIN(Simulation!$F$10*12+Simulation!$F$12*OR(Simulation!$F$11="Amortissable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partiel",IF(B45&lt;=Simulation!$F$12,Simulation!$E$33*Simulation!$F$8/12,PMT(Simulation!$F$8/12,Simulation!$F$10*12,-Simulation!$E$34)),IF(Simulation!$F$11="Amortissable différé total",IF(B45&lt;=Simulation!$F$12,0,PMT(Simulation!$F$8/12,Simulation!$F$10*12,-Simulation!$E$34)),IF(Simulation!$F$11="In fine",IF(B45=Simulation!$F$10*12,Simulation!$E$34,Simulation!$F$8*Simulation!$E$34/12),0)))),0)</f>
        <v>860.8610094454034</v>
      </c>
      <c r="H45" s="113">
        <f>Simulation!$C$16/12*(1+Simulation!$F$15)^INT((B45-1)/12)*(B45&lt;=Simulation!$F$24*12)</f>
        <v>1030.3009999999999</v>
      </c>
      <c r="I45" s="114">
        <f>(Simulation!$F$22-VLOOKUP(Simulation!$C$27,'Comparatif fiscal'!$B$8:$E$17,4,FALSE)-C45)*(B45=Simulation!$F$24*12)</f>
        <v>0</v>
      </c>
      <c r="J45" s="114">
        <f>(Simulation!$C$21+Simulation!$C$22)/12*(1+Simulation!$F$17)^INT((B45-1)/12)*(B45&lt;=Simulation!$F$24*12)</f>
        <v>128.78762499999999</v>
      </c>
      <c r="K45" s="114">
        <f>(H45*Simulation!$C$24+Simulation!$C$23/12*(1+Simulation!$F$15)^INT((B45-1)/12))*(B45&lt;=Simulation!$F$24*12)</f>
        <v>106.46443666666667</v>
      </c>
      <c r="L45" s="114">
        <f>Simulation!$C$19/12*(1+Simulation!$F$18)^INT((B45-1)/12)*(B45&lt;=Simulation!$F$24*12)</f>
        <v>51.515049999999995</v>
      </c>
      <c r="M45" s="114">
        <f>(Simulation!$C$20/12*(1+Simulation!$F$19)^INT((B45-1)/12)+F45)*(B45&lt;=Simulation!$F$24*12)</f>
        <v>38.319175000000001</v>
      </c>
      <c r="N45" s="114">
        <f ca="1">SUMIF('Détail fiscalité'!$B$8:$B$37,INT(B45/12),'Détail fiscalité'!$CI$8:$CI$37)/12+SUMIF('Détail fiscalité'!$B$8:$B$37,B45/12,'Détail fiscalité'!$CI$8:$CI$37)-SUMIF('Détail fiscalité'!$B$8:$B$37,B45/12-1,'Détail fiscalité'!$CI$8:$CI$37)</f>
        <v>0</v>
      </c>
      <c r="O45" s="116">
        <f t="shared" ca="1" si="5"/>
        <v>-155.6462961120701</v>
      </c>
    </row>
    <row r="46" spans="2:31" x14ac:dyDescent="0.15">
      <c r="B46" s="40">
        <f t="shared" si="0"/>
        <v>39</v>
      </c>
      <c r="C46" s="113">
        <f>IF(B46&lt;=MIN(Simulation!$F$10*12+Simulation!$F$12*OR(Simulation!$F$11="Amortissable différé partiel",Simulation!$F$11="Amortissable différé total"),Simulation!$F$24*12),IF(AND(B46&lt;=Simulation!$F$12,OR(Simulation!$F$11="Amortissable différé partiel",Simulation!$F$11="Amortissable différé total")),C45*(1+(Simulation!$F$11="Amortissable différé total")*Simulation!$F$8/12),C45-D46),0)</f>
        <v>152923.39004261617</v>
      </c>
      <c r="D46" s="114">
        <f>IF(B46&lt;=MIN(Simulation!$F$10*12+Simulation!$F$12*OR(Simulation!$F$11="Amortissable différé partiel",Simulation!$F$11="Amortissable différé total"),Simulation!$F$24*12),G46-E46,0)</f>
        <v>668.8706835377111</v>
      </c>
      <c r="E46" s="114">
        <f>IF(B46&lt;=MIN(Simulation!$F$10*12+Simulation!$F$12*OR(Simulation!$F$11="Amortissable différé partiel",Simulation!$F$11="Amortissable différé total"),Simulation!$F$24*12),IF(AND(B46&lt;=Simulation!$F$12,Simulation!$F$11="Amortissable différé total"),0,C45*Simulation!$F$8/12),0)</f>
        <v>191.99032590769232</v>
      </c>
      <c r="F46" s="114">
        <f>IF(B46&lt;=MIN(Simulation!$F$10*12+Simulation!$F$12*OR(Simulation!$F$11="Amortissable différé partiel",Simulation!$F$11="Amortissable différé total"),Simulation!$F$24*12),Simulation!$E$33*Simulation!$F$9/12,0)</f>
        <v>29.733333333333334</v>
      </c>
      <c r="G46" s="115">
        <f>IF(B46&lt;=MIN(Simulation!$F$10*12+Simulation!$F$12*OR(Simulation!$F$11="Amortissable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partiel",IF(B46&lt;=Simulation!$F$12,Simulation!$E$33*Simulation!$F$8/12,PMT(Simulation!$F$8/12,Simulation!$F$10*12,-Simulation!$E$34)),IF(Simulation!$F$11="Amortissable différé total",IF(B46&lt;=Simulation!$F$12,0,PMT(Simulation!$F$8/12,Simulation!$F$10*12,-Simulation!$E$34)),IF(Simulation!$F$11="In fine",IF(B46=Simulation!$F$10*12,Simulation!$E$34,Simulation!$F$8*Simulation!$E$34/12),0)))),0)</f>
        <v>860.8610094454034</v>
      </c>
      <c r="H46" s="113">
        <f>Simulation!$C$16/12*(1+Simulation!$F$15)^INT((B46-1)/12)*(B46&lt;=Simulation!$F$24*12)</f>
        <v>1030.3009999999999</v>
      </c>
      <c r="I46" s="114">
        <f>(Simulation!$F$22-VLOOKUP(Simulation!$C$27,'Comparatif fiscal'!$B$8:$E$17,4,FALSE)-C46)*(B46=Simulation!$F$24*12)</f>
        <v>0</v>
      </c>
      <c r="J46" s="114">
        <f>(Simulation!$C$21+Simulation!$C$22)/12*(1+Simulation!$F$17)^INT((B46-1)/12)*(B46&lt;=Simulation!$F$24*12)</f>
        <v>128.78762499999999</v>
      </c>
      <c r="K46" s="114">
        <f>(H46*Simulation!$C$24+Simulation!$C$23/12*(1+Simulation!$F$15)^INT((B46-1)/12))*(B46&lt;=Simulation!$F$24*12)</f>
        <v>106.46443666666667</v>
      </c>
      <c r="L46" s="114">
        <f>Simulation!$C$19/12*(1+Simulation!$F$18)^INT((B46-1)/12)*(B46&lt;=Simulation!$F$24*12)</f>
        <v>51.515049999999995</v>
      </c>
      <c r="M46" s="114">
        <f>(Simulation!$C$20/12*(1+Simulation!$F$19)^INT((B46-1)/12)+F46)*(B46&lt;=Simulation!$F$24*12)</f>
        <v>38.319175000000001</v>
      </c>
      <c r="N46" s="114">
        <f ca="1">SUMIF('Détail fiscalité'!$B$8:$B$37,INT(B46/12),'Détail fiscalité'!$CI$8:$CI$37)/12+SUMIF('Détail fiscalité'!$B$8:$B$37,B46/12,'Détail fiscalité'!$CI$8:$CI$37)-SUMIF('Détail fiscalité'!$B$8:$B$37,B46/12-1,'Détail fiscalité'!$CI$8:$CI$37)</f>
        <v>0</v>
      </c>
      <c r="O46" s="116">
        <f t="shared" ca="1" si="5"/>
        <v>-155.6462961120701</v>
      </c>
    </row>
    <row r="47" spans="2:31" x14ac:dyDescent="0.15">
      <c r="B47" s="40">
        <f t="shared" si="0"/>
        <v>40</v>
      </c>
      <c r="C47" s="113">
        <f>IF(B47&lt;=MIN(Simulation!$F$10*12+Simulation!$F$12*OR(Simulation!$F$11="Amortissable différé partiel",Simulation!$F$11="Amortissable différé total"),Simulation!$F$24*12),IF(AND(B47&lt;=Simulation!$F$12,OR(Simulation!$F$11="Amortissable différé partiel",Simulation!$F$11="Amortissable différé total")),C46*(1+(Simulation!$F$11="Amortissable différé total")*Simulation!$F$8/12),C46-D47),0)</f>
        <v>152253.68327072402</v>
      </c>
      <c r="D47" s="114">
        <f>IF(B47&lt;=MIN(Simulation!$F$10*12+Simulation!$F$12*OR(Simulation!$F$11="Amortissable différé partiel",Simulation!$F$11="Amortissable différé total"),Simulation!$F$24*12),G47-E47,0)</f>
        <v>669.70677189213325</v>
      </c>
      <c r="E47" s="114">
        <f>IF(B47&lt;=MIN(Simulation!$F$10*12+Simulation!$F$12*OR(Simulation!$F$11="Amortissable différé partiel",Simulation!$F$11="Amortissable différé total"),Simulation!$F$24*12),IF(AND(B47&lt;=Simulation!$F$12,Simulation!$F$11="Amortissable différé total"),0,C46*Simulation!$F$8/12),0)</f>
        <v>191.15423755327018</v>
      </c>
      <c r="F47" s="114">
        <f>IF(B47&lt;=MIN(Simulation!$F$10*12+Simulation!$F$12*OR(Simulation!$F$11="Amortissable différé partiel",Simulation!$F$11="Amortissable différé total"),Simulation!$F$24*12),Simulation!$E$33*Simulation!$F$9/12,0)</f>
        <v>29.733333333333334</v>
      </c>
      <c r="G47" s="115">
        <f>IF(B47&lt;=MIN(Simulation!$F$10*12+Simulation!$F$12*OR(Simulation!$F$11="Amortissable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partiel",IF(B47&lt;=Simulation!$F$12,Simulation!$E$33*Simulation!$F$8/12,PMT(Simulation!$F$8/12,Simulation!$F$10*12,-Simulation!$E$34)),IF(Simulation!$F$11="Amortissable différé total",IF(B47&lt;=Simulation!$F$12,0,PMT(Simulation!$F$8/12,Simulation!$F$10*12,-Simulation!$E$34)),IF(Simulation!$F$11="In fine",IF(B47=Simulation!$F$10*12,Simulation!$E$34,Simulation!$F$8*Simulation!$E$34/12),0)))),0)</f>
        <v>860.8610094454034</v>
      </c>
      <c r="H47" s="113">
        <f>Simulation!$C$16/12*(1+Simulation!$F$15)^INT((B47-1)/12)*(B47&lt;=Simulation!$F$24*12)</f>
        <v>1030.3009999999999</v>
      </c>
      <c r="I47" s="114">
        <f>(Simulation!$F$22-VLOOKUP(Simulation!$C$27,'Comparatif fiscal'!$B$8:$E$17,4,FALSE)-C47)*(B47=Simulation!$F$24*12)</f>
        <v>0</v>
      </c>
      <c r="J47" s="114">
        <f>(Simulation!$C$21+Simulation!$C$22)/12*(1+Simulation!$F$17)^INT((B47-1)/12)*(B47&lt;=Simulation!$F$24*12)</f>
        <v>128.78762499999999</v>
      </c>
      <c r="K47" s="114">
        <f>(H47*Simulation!$C$24+Simulation!$C$23/12*(1+Simulation!$F$15)^INT((B47-1)/12))*(B47&lt;=Simulation!$F$24*12)</f>
        <v>106.46443666666667</v>
      </c>
      <c r="L47" s="114">
        <f>Simulation!$C$19/12*(1+Simulation!$F$18)^INT((B47-1)/12)*(B47&lt;=Simulation!$F$24*12)</f>
        <v>51.515049999999995</v>
      </c>
      <c r="M47" s="114">
        <f>(Simulation!$C$20/12*(1+Simulation!$F$19)^INT((B47-1)/12)+F47)*(B47&lt;=Simulation!$F$24*12)</f>
        <v>38.319175000000001</v>
      </c>
      <c r="N47" s="114">
        <f ca="1">SUMIF('Détail fiscalité'!$B$8:$B$37,INT(B47/12),'Détail fiscalité'!$CI$8:$CI$37)/12+SUMIF('Détail fiscalité'!$B$8:$B$37,B47/12,'Détail fiscalité'!$CI$8:$CI$37)-SUMIF('Détail fiscalité'!$B$8:$B$37,B47/12-1,'Détail fiscalité'!$CI$8:$CI$37)</f>
        <v>0</v>
      </c>
      <c r="O47" s="116">
        <f t="shared" ca="1" si="5"/>
        <v>-155.6462961120701</v>
      </c>
    </row>
    <row r="48" spans="2:31" x14ac:dyDescent="0.15">
      <c r="B48" s="40">
        <f t="shared" si="0"/>
        <v>41</v>
      </c>
      <c r="C48" s="113">
        <f>IF(B48&lt;=MIN(Simulation!$F$10*12+Simulation!$F$12*OR(Simulation!$F$11="Amortissable différé partiel",Simulation!$F$11="Amortissable différé total"),Simulation!$F$24*12),IF(AND(B48&lt;=Simulation!$F$12,OR(Simulation!$F$11="Amortissable différé partiel",Simulation!$F$11="Amortissable différé total")),C47*(1+(Simulation!$F$11="Amortissable différé total")*Simulation!$F$8/12),C47-D48),0)</f>
        <v>151583.13936536704</v>
      </c>
      <c r="D48" s="114">
        <f>IF(B48&lt;=MIN(Simulation!$F$10*12+Simulation!$F$12*OR(Simulation!$F$11="Amortissable différé partiel",Simulation!$F$11="Amortissable différé total"),Simulation!$F$24*12),G48-E48,0)</f>
        <v>670.54390535699838</v>
      </c>
      <c r="E48" s="114">
        <f>IF(B48&lt;=MIN(Simulation!$F$10*12+Simulation!$F$12*OR(Simulation!$F$11="Amortissable différé partiel",Simulation!$F$11="Amortissable différé total"),Simulation!$F$24*12),IF(AND(B48&lt;=Simulation!$F$12,Simulation!$F$11="Amortissable différé total"),0,C47*Simulation!$F$8/12),0)</f>
        <v>190.31710408840502</v>
      </c>
      <c r="F48" s="114">
        <f>IF(B48&lt;=MIN(Simulation!$F$10*12+Simulation!$F$12*OR(Simulation!$F$11="Amortissable différé partiel",Simulation!$F$11="Amortissable différé total"),Simulation!$F$24*12),Simulation!$E$33*Simulation!$F$9/12,0)</f>
        <v>29.733333333333334</v>
      </c>
      <c r="G48" s="115">
        <f>IF(B48&lt;=MIN(Simulation!$F$10*12+Simulation!$F$12*OR(Simulation!$F$11="Amortissable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partiel",IF(B48&lt;=Simulation!$F$12,Simulation!$E$33*Simulation!$F$8/12,PMT(Simulation!$F$8/12,Simulation!$F$10*12,-Simulation!$E$34)),IF(Simulation!$F$11="Amortissable différé total",IF(B48&lt;=Simulation!$F$12,0,PMT(Simulation!$F$8/12,Simulation!$F$10*12,-Simulation!$E$34)),IF(Simulation!$F$11="In fine",IF(B48=Simulation!$F$10*12,Simulation!$E$34,Simulation!$F$8*Simulation!$E$34/12),0)))),0)</f>
        <v>860.8610094454034</v>
      </c>
      <c r="H48" s="113">
        <f>Simulation!$C$16/12*(1+Simulation!$F$15)^INT((B48-1)/12)*(B48&lt;=Simulation!$F$24*12)</f>
        <v>1030.3009999999999</v>
      </c>
      <c r="I48" s="114">
        <f>(Simulation!$F$22-VLOOKUP(Simulation!$C$27,'Comparatif fiscal'!$B$8:$E$17,4,FALSE)-C48)*(B48=Simulation!$F$24*12)</f>
        <v>0</v>
      </c>
      <c r="J48" s="114">
        <f>(Simulation!$C$21+Simulation!$C$22)/12*(1+Simulation!$F$17)^INT((B48-1)/12)*(B48&lt;=Simulation!$F$24*12)</f>
        <v>128.78762499999999</v>
      </c>
      <c r="K48" s="114">
        <f>(H48*Simulation!$C$24+Simulation!$C$23/12*(1+Simulation!$F$15)^INT((B48-1)/12))*(B48&lt;=Simulation!$F$24*12)</f>
        <v>106.46443666666667</v>
      </c>
      <c r="L48" s="114">
        <f>Simulation!$C$19/12*(1+Simulation!$F$18)^INT((B48-1)/12)*(B48&lt;=Simulation!$F$24*12)</f>
        <v>51.515049999999995</v>
      </c>
      <c r="M48" s="114">
        <f>(Simulation!$C$20/12*(1+Simulation!$F$19)^INT((B48-1)/12)+F48)*(B48&lt;=Simulation!$F$24*12)</f>
        <v>38.319175000000001</v>
      </c>
      <c r="N48" s="114">
        <f ca="1">SUMIF('Détail fiscalité'!$B$8:$B$37,INT(B48/12),'Détail fiscalité'!$CI$8:$CI$37)/12+SUMIF('Détail fiscalité'!$B$8:$B$37,B48/12,'Détail fiscalité'!$CI$8:$CI$37)-SUMIF('Détail fiscalité'!$B$8:$B$37,B48/12-1,'Détail fiscalité'!$CI$8:$CI$37)</f>
        <v>0</v>
      </c>
      <c r="O48" s="116">
        <f t="shared" ca="1" si="5"/>
        <v>-155.6462961120701</v>
      </c>
    </row>
    <row r="49" spans="2:17" x14ac:dyDescent="0.15">
      <c r="B49" s="40">
        <f t="shared" si="0"/>
        <v>42</v>
      </c>
      <c r="C49" s="113">
        <f>IF(B49&lt;=MIN(Simulation!$F$10*12+Simulation!$F$12*OR(Simulation!$F$11="Amortissable différé partiel",Simulation!$F$11="Amortissable différé total"),Simulation!$F$24*12),IF(AND(B49&lt;=Simulation!$F$12,OR(Simulation!$F$11="Amortissable différé partiel",Simulation!$F$11="Amortissable différé total")),C48*(1+(Simulation!$F$11="Amortissable différé total")*Simulation!$F$8/12),C48-D49),0)</f>
        <v>150911.75728012834</v>
      </c>
      <c r="D49" s="114">
        <f>IF(B49&lt;=MIN(Simulation!$F$10*12+Simulation!$F$12*OR(Simulation!$F$11="Amortissable différé partiel",Simulation!$F$11="Amortissable différé total"),Simulation!$F$24*12),G49-E49,0)</f>
        <v>671.38208523869457</v>
      </c>
      <c r="E49" s="114">
        <f>IF(B49&lt;=MIN(Simulation!$F$10*12+Simulation!$F$12*OR(Simulation!$F$11="Amortissable différé partiel",Simulation!$F$11="Amortissable différé total"),Simulation!$F$24*12),IF(AND(B49&lt;=Simulation!$F$12,Simulation!$F$11="Amortissable différé total"),0,C48*Simulation!$F$8/12),0)</f>
        <v>189.4789242067088</v>
      </c>
      <c r="F49" s="114">
        <f>IF(B49&lt;=MIN(Simulation!$F$10*12+Simulation!$F$12*OR(Simulation!$F$11="Amortissable différé partiel",Simulation!$F$11="Amortissable différé total"),Simulation!$F$24*12),Simulation!$E$33*Simulation!$F$9/12,0)</f>
        <v>29.733333333333334</v>
      </c>
      <c r="G49" s="115">
        <f>IF(B49&lt;=MIN(Simulation!$F$10*12+Simulation!$F$12*OR(Simulation!$F$11="Amortissable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partiel",IF(B49&lt;=Simulation!$F$12,Simulation!$E$33*Simulation!$F$8/12,PMT(Simulation!$F$8/12,Simulation!$F$10*12,-Simulation!$E$34)),IF(Simulation!$F$11="Amortissable différé total",IF(B49&lt;=Simulation!$F$12,0,PMT(Simulation!$F$8/12,Simulation!$F$10*12,-Simulation!$E$34)),IF(Simulation!$F$11="In fine",IF(B49=Simulation!$F$10*12,Simulation!$E$34,Simulation!$F$8*Simulation!$E$34/12),0)))),0)</f>
        <v>860.8610094454034</v>
      </c>
      <c r="H49" s="113">
        <f>Simulation!$C$16/12*(1+Simulation!$F$15)^INT((B49-1)/12)*(B49&lt;=Simulation!$F$24*12)</f>
        <v>1030.3009999999999</v>
      </c>
      <c r="I49" s="114">
        <f>(Simulation!$F$22-VLOOKUP(Simulation!$C$27,'Comparatif fiscal'!$B$8:$E$17,4,FALSE)-C49)*(B49=Simulation!$F$24*12)</f>
        <v>0</v>
      </c>
      <c r="J49" s="114">
        <f>(Simulation!$C$21+Simulation!$C$22)/12*(1+Simulation!$F$17)^INT((B49-1)/12)*(B49&lt;=Simulation!$F$24*12)</f>
        <v>128.78762499999999</v>
      </c>
      <c r="K49" s="114">
        <f>(H49*Simulation!$C$24+Simulation!$C$23/12*(1+Simulation!$F$15)^INT((B49-1)/12))*(B49&lt;=Simulation!$F$24*12)</f>
        <v>106.46443666666667</v>
      </c>
      <c r="L49" s="114">
        <f>Simulation!$C$19/12*(1+Simulation!$F$18)^INT((B49-1)/12)*(B49&lt;=Simulation!$F$24*12)</f>
        <v>51.515049999999995</v>
      </c>
      <c r="M49" s="114">
        <f>(Simulation!$C$20/12*(1+Simulation!$F$19)^INT((B49-1)/12)+F49)*(B49&lt;=Simulation!$F$24*12)</f>
        <v>38.319175000000001</v>
      </c>
      <c r="N49" s="114">
        <f ca="1">SUMIF('Détail fiscalité'!$B$8:$B$37,INT(B49/12),'Détail fiscalité'!$CI$8:$CI$37)/12+SUMIF('Détail fiscalité'!$B$8:$B$37,B49/12,'Détail fiscalité'!$CI$8:$CI$37)-SUMIF('Détail fiscalité'!$B$8:$B$37,B49/12-1,'Détail fiscalité'!$CI$8:$CI$37)</f>
        <v>0</v>
      </c>
      <c r="O49" s="116">
        <f t="shared" ca="1" si="5"/>
        <v>-155.6462961120701</v>
      </c>
    </row>
    <row r="50" spans="2:17" x14ac:dyDescent="0.15">
      <c r="B50" s="40">
        <f t="shared" si="0"/>
        <v>43</v>
      </c>
      <c r="C50" s="113">
        <f>IF(B50&lt;=MIN(Simulation!$F$10*12+Simulation!$F$12*OR(Simulation!$F$11="Amortissable différé partiel",Simulation!$F$11="Amortissable différé total"),Simulation!$F$24*12),IF(AND(B50&lt;=Simulation!$F$12,OR(Simulation!$F$11="Amortissable différé partiel",Simulation!$F$11="Amortissable différé total")),C49*(1+(Simulation!$F$11="Amortissable différé total")*Simulation!$F$8/12),C49-D50),0)</f>
        <v>150239.5359672831</v>
      </c>
      <c r="D50" s="114">
        <f>IF(B50&lt;=MIN(Simulation!$F$10*12+Simulation!$F$12*OR(Simulation!$F$11="Amortissable différé partiel",Simulation!$F$11="Amortissable différé total"),Simulation!$F$24*12),G50-E50,0)</f>
        <v>672.22131284524301</v>
      </c>
      <c r="E50" s="114">
        <f>IF(B50&lt;=MIN(Simulation!$F$10*12+Simulation!$F$12*OR(Simulation!$F$11="Amortissable différé partiel",Simulation!$F$11="Amortissable différé total"),Simulation!$F$24*12),IF(AND(B50&lt;=Simulation!$F$12,Simulation!$F$11="Amortissable différé total"),0,C49*Simulation!$F$8/12),0)</f>
        <v>188.63969660016042</v>
      </c>
      <c r="F50" s="114">
        <f>IF(B50&lt;=MIN(Simulation!$F$10*12+Simulation!$F$12*OR(Simulation!$F$11="Amortissable différé partiel",Simulation!$F$11="Amortissable différé total"),Simulation!$F$24*12),Simulation!$E$33*Simulation!$F$9/12,0)</f>
        <v>29.733333333333334</v>
      </c>
      <c r="G50" s="115">
        <f>IF(B50&lt;=MIN(Simulation!$F$10*12+Simulation!$F$12*OR(Simulation!$F$11="Amortissable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partiel",IF(B50&lt;=Simulation!$F$12,Simulation!$E$33*Simulation!$F$8/12,PMT(Simulation!$F$8/12,Simulation!$F$10*12,-Simulation!$E$34)),IF(Simulation!$F$11="Amortissable différé total",IF(B50&lt;=Simulation!$F$12,0,PMT(Simulation!$F$8/12,Simulation!$F$10*12,-Simulation!$E$34)),IF(Simulation!$F$11="In fine",IF(B50=Simulation!$F$10*12,Simulation!$E$34,Simulation!$F$8*Simulation!$E$34/12),0)))),0)</f>
        <v>860.8610094454034</v>
      </c>
      <c r="H50" s="113">
        <f>Simulation!$C$16/12*(1+Simulation!$F$15)^INT((B50-1)/12)*(B50&lt;=Simulation!$F$24*12)</f>
        <v>1030.3009999999999</v>
      </c>
      <c r="I50" s="114">
        <f>(Simulation!$F$22-VLOOKUP(Simulation!$C$27,'Comparatif fiscal'!$B$8:$E$17,4,FALSE)-C50)*(B50=Simulation!$F$24*12)</f>
        <v>0</v>
      </c>
      <c r="J50" s="114">
        <f>(Simulation!$C$21+Simulation!$C$22)/12*(1+Simulation!$F$17)^INT((B50-1)/12)*(B50&lt;=Simulation!$F$24*12)</f>
        <v>128.78762499999999</v>
      </c>
      <c r="K50" s="114">
        <f>(H50*Simulation!$C$24+Simulation!$C$23/12*(1+Simulation!$F$15)^INT((B50-1)/12))*(B50&lt;=Simulation!$F$24*12)</f>
        <v>106.46443666666667</v>
      </c>
      <c r="L50" s="114">
        <f>Simulation!$C$19/12*(1+Simulation!$F$18)^INT((B50-1)/12)*(B50&lt;=Simulation!$F$24*12)</f>
        <v>51.515049999999995</v>
      </c>
      <c r="M50" s="114">
        <f>(Simulation!$C$20/12*(1+Simulation!$F$19)^INT((B50-1)/12)+F50)*(B50&lt;=Simulation!$F$24*12)</f>
        <v>38.319175000000001</v>
      </c>
      <c r="N50" s="114">
        <f ca="1">SUMIF('Détail fiscalité'!$B$8:$B$37,INT(B50/12),'Détail fiscalité'!$CI$8:$CI$37)/12+SUMIF('Détail fiscalité'!$B$8:$B$37,B50/12,'Détail fiscalité'!$CI$8:$CI$37)-SUMIF('Détail fiscalité'!$B$8:$B$37,B50/12-1,'Détail fiscalité'!$CI$8:$CI$37)</f>
        <v>0</v>
      </c>
      <c r="O50" s="116">
        <f t="shared" ca="1" si="5"/>
        <v>-155.6462961120701</v>
      </c>
    </row>
    <row r="51" spans="2:17" x14ac:dyDescent="0.15">
      <c r="B51" s="40">
        <f t="shared" si="0"/>
        <v>44</v>
      </c>
      <c r="C51" s="113">
        <f>IF(B51&lt;=MIN(Simulation!$F$10*12+Simulation!$F$12*OR(Simulation!$F$11="Amortissable différé partiel",Simulation!$F$11="Amortissable différé total"),Simulation!$F$24*12),IF(AND(B51&lt;=Simulation!$F$12,OR(Simulation!$F$11="Amortissable différé partiel",Simulation!$F$11="Amortissable différé total")),C50*(1+(Simulation!$F$11="Amortissable différé total")*Simulation!$F$8/12),C50-D51),0)</f>
        <v>149566.47437779681</v>
      </c>
      <c r="D51" s="114">
        <f>IF(B51&lt;=MIN(Simulation!$F$10*12+Simulation!$F$12*OR(Simulation!$F$11="Amortissable différé partiel",Simulation!$F$11="Amortissable différé total"),Simulation!$F$24*12),G51-E51,0)</f>
        <v>673.06158948629957</v>
      </c>
      <c r="E51" s="114">
        <f>IF(B51&lt;=MIN(Simulation!$F$10*12+Simulation!$F$12*OR(Simulation!$F$11="Amortissable différé partiel",Simulation!$F$11="Amortissable différé total"),Simulation!$F$24*12),IF(AND(B51&lt;=Simulation!$F$12,Simulation!$F$11="Amortissable différé total"),0,C50*Simulation!$F$8/12),0)</f>
        <v>187.79941995910386</v>
      </c>
      <c r="F51" s="114">
        <f>IF(B51&lt;=MIN(Simulation!$F$10*12+Simulation!$F$12*OR(Simulation!$F$11="Amortissable différé partiel",Simulation!$F$11="Amortissable différé total"),Simulation!$F$24*12),Simulation!$E$33*Simulation!$F$9/12,0)</f>
        <v>29.733333333333334</v>
      </c>
      <c r="G51" s="115">
        <f>IF(B51&lt;=MIN(Simulation!$F$10*12+Simulation!$F$12*OR(Simulation!$F$11="Amortissable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partiel",IF(B51&lt;=Simulation!$F$12,Simulation!$E$33*Simulation!$F$8/12,PMT(Simulation!$F$8/12,Simulation!$F$10*12,-Simulation!$E$34)),IF(Simulation!$F$11="Amortissable différé total",IF(B51&lt;=Simulation!$F$12,0,PMT(Simulation!$F$8/12,Simulation!$F$10*12,-Simulation!$E$34)),IF(Simulation!$F$11="In fine",IF(B51=Simulation!$F$10*12,Simulation!$E$34,Simulation!$F$8*Simulation!$E$34/12),0)))),0)</f>
        <v>860.8610094454034</v>
      </c>
      <c r="H51" s="113">
        <f>Simulation!$C$16/12*(1+Simulation!$F$15)^INT((B51-1)/12)*(B51&lt;=Simulation!$F$24*12)</f>
        <v>1030.3009999999999</v>
      </c>
      <c r="I51" s="114">
        <f>(Simulation!$F$22-VLOOKUP(Simulation!$C$27,'Comparatif fiscal'!$B$8:$E$17,4,FALSE)-C51)*(B51=Simulation!$F$24*12)</f>
        <v>0</v>
      </c>
      <c r="J51" s="114">
        <f>(Simulation!$C$21+Simulation!$C$22)/12*(1+Simulation!$F$17)^INT((B51-1)/12)*(B51&lt;=Simulation!$F$24*12)</f>
        <v>128.78762499999999</v>
      </c>
      <c r="K51" s="114">
        <f>(H51*Simulation!$C$24+Simulation!$C$23/12*(1+Simulation!$F$15)^INT((B51-1)/12))*(B51&lt;=Simulation!$F$24*12)</f>
        <v>106.46443666666667</v>
      </c>
      <c r="L51" s="114">
        <f>Simulation!$C$19/12*(1+Simulation!$F$18)^INT((B51-1)/12)*(B51&lt;=Simulation!$F$24*12)</f>
        <v>51.515049999999995</v>
      </c>
      <c r="M51" s="114">
        <f>(Simulation!$C$20/12*(1+Simulation!$F$19)^INT((B51-1)/12)+F51)*(B51&lt;=Simulation!$F$24*12)</f>
        <v>38.319175000000001</v>
      </c>
      <c r="N51" s="114">
        <f ca="1">SUMIF('Détail fiscalité'!$B$8:$B$37,INT(B51/12),'Détail fiscalité'!$CI$8:$CI$37)/12+SUMIF('Détail fiscalité'!$B$8:$B$37,B51/12,'Détail fiscalité'!$CI$8:$CI$37)-SUMIF('Détail fiscalité'!$B$8:$B$37,B51/12-1,'Détail fiscalité'!$CI$8:$CI$37)</f>
        <v>0</v>
      </c>
      <c r="O51" s="116">
        <f t="shared" ca="1" si="5"/>
        <v>-155.6462961120701</v>
      </c>
    </row>
    <row r="52" spans="2:17" x14ac:dyDescent="0.15">
      <c r="B52" s="40">
        <f t="shared" si="0"/>
        <v>45</v>
      </c>
      <c r="C52" s="113">
        <f>IF(B52&lt;=MIN(Simulation!$F$10*12+Simulation!$F$12*OR(Simulation!$F$11="Amortissable différé partiel",Simulation!$F$11="Amortissable différé total"),Simulation!$F$24*12),IF(AND(B52&lt;=Simulation!$F$12,OR(Simulation!$F$11="Amortissable différé partiel",Simulation!$F$11="Amortissable différé total")),C51*(1+(Simulation!$F$11="Amortissable différé total")*Simulation!$F$8/12),C51-D52),0)</f>
        <v>148892.57146132365</v>
      </c>
      <c r="D52" s="114">
        <f>IF(B52&lt;=MIN(Simulation!$F$10*12+Simulation!$F$12*OR(Simulation!$F$11="Amortissable différé partiel",Simulation!$F$11="Amortissable différé total"),Simulation!$F$24*12),G52-E52,0)</f>
        <v>673.90291647315735</v>
      </c>
      <c r="E52" s="114">
        <f>IF(B52&lt;=MIN(Simulation!$F$10*12+Simulation!$F$12*OR(Simulation!$F$11="Amortissable différé partiel",Simulation!$F$11="Amortissable différé total"),Simulation!$F$24*12),IF(AND(B52&lt;=Simulation!$F$12,Simulation!$F$11="Amortissable différé total"),0,C51*Simulation!$F$8/12),0)</f>
        <v>186.95809297224602</v>
      </c>
      <c r="F52" s="114">
        <f>IF(B52&lt;=MIN(Simulation!$F$10*12+Simulation!$F$12*OR(Simulation!$F$11="Amortissable différé partiel",Simulation!$F$11="Amortissable différé total"),Simulation!$F$24*12),Simulation!$E$33*Simulation!$F$9/12,0)</f>
        <v>29.733333333333334</v>
      </c>
      <c r="G52" s="115">
        <f>IF(B52&lt;=MIN(Simulation!$F$10*12+Simulation!$F$12*OR(Simulation!$F$11="Amortissable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partiel",IF(B52&lt;=Simulation!$F$12,Simulation!$E$33*Simulation!$F$8/12,PMT(Simulation!$F$8/12,Simulation!$F$10*12,-Simulation!$E$34)),IF(Simulation!$F$11="Amortissable différé total",IF(B52&lt;=Simulation!$F$12,0,PMT(Simulation!$F$8/12,Simulation!$F$10*12,-Simulation!$E$34)),IF(Simulation!$F$11="In fine",IF(B52=Simulation!$F$10*12,Simulation!$E$34,Simulation!$F$8*Simulation!$E$34/12),0)))),0)</f>
        <v>860.8610094454034</v>
      </c>
      <c r="H52" s="113">
        <f>Simulation!$C$16/12*(1+Simulation!$F$15)^INT((B52-1)/12)*(B52&lt;=Simulation!$F$24*12)</f>
        <v>1030.3009999999999</v>
      </c>
      <c r="I52" s="114">
        <f>(Simulation!$F$22-VLOOKUP(Simulation!$C$27,'Comparatif fiscal'!$B$8:$E$17,4,FALSE)-C52)*(B52=Simulation!$F$24*12)</f>
        <v>0</v>
      </c>
      <c r="J52" s="114">
        <f>(Simulation!$C$21+Simulation!$C$22)/12*(1+Simulation!$F$17)^INT((B52-1)/12)*(B52&lt;=Simulation!$F$24*12)</f>
        <v>128.78762499999999</v>
      </c>
      <c r="K52" s="114">
        <f>(H52*Simulation!$C$24+Simulation!$C$23/12*(1+Simulation!$F$15)^INT((B52-1)/12))*(B52&lt;=Simulation!$F$24*12)</f>
        <v>106.46443666666667</v>
      </c>
      <c r="L52" s="114">
        <f>Simulation!$C$19/12*(1+Simulation!$F$18)^INT((B52-1)/12)*(B52&lt;=Simulation!$F$24*12)</f>
        <v>51.515049999999995</v>
      </c>
      <c r="M52" s="114">
        <f>(Simulation!$C$20/12*(1+Simulation!$F$19)^INT((B52-1)/12)+F52)*(B52&lt;=Simulation!$F$24*12)</f>
        <v>38.319175000000001</v>
      </c>
      <c r="N52" s="114">
        <f ca="1">SUMIF('Détail fiscalité'!$B$8:$B$37,INT(B52/12),'Détail fiscalité'!$CI$8:$CI$37)/12+SUMIF('Détail fiscalité'!$B$8:$B$37,B52/12,'Détail fiscalité'!$CI$8:$CI$37)-SUMIF('Détail fiscalité'!$B$8:$B$37,B52/12-1,'Détail fiscalité'!$CI$8:$CI$37)</f>
        <v>0</v>
      </c>
      <c r="O52" s="116">
        <f t="shared" ca="1" si="5"/>
        <v>-155.6462961120701</v>
      </c>
    </row>
    <row r="53" spans="2:17" x14ac:dyDescent="0.15">
      <c r="B53" s="40">
        <f t="shared" si="0"/>
        <v>46</v>
      </c>
      <c r="C53" s="113">
        <f>IF(B53&lt;=MIN(Simulation!$F$10*12+Simulation!$F$12*OR(Simulation!$F$11="Amortissable différé partiel",Simulation!$F$11="Amortissable différé total"),Simulation!$F$24*12),IF(AND(B53&lt;=Simulation!$F$12,OR(Simulation!$F$11="Amortissable différé partiel",Simulation!$F$11="Amortissable différé total")),C52*(1+(Simulation!$F$11="Amortissable différé total")*Simulation!$F$8/12),C52-D53),0)</f>
        <v>148217.8261662049</v>
      </c>
      <c r="D53" s="114">
        <f>IF(B53&lt;=MIN(Simulation!$F$10*12+Simulation!$F$12*OR(Simulation!$F$11="Amortissable différé partiel",Simulation!$F$11="Amortissable différé total"),Simulation!$F$24*12),G53-E53,0)</f>
        <v>674.7452951187488</v>
      </c>
      <c r="E53" s="114">
        <f>IF(B53&lt;=MIN(Simulation!$F$10*12+Simulation!$F$12*OR(Simulation!$F$11="Amortissable différé partiel",Simulation!$F$11="Amortissable différé total"),Simulation!$F$24*12),IF(AND(B53&lt;=Simulation!$F$12,Simulation!$F$11="Amortissable différé total"),0,C52*Simulation!$F$8/12),0)</f>
        <v>186.11571432665457</v>
      </c>
      <c r="F53" s="114">
        <f>IF(B53&lt;=MIN(Simulation!$F$10*12+Simulation!$F$12*OR(Simulation!$F$11="Amortissable différé partiel",Simulation!$F$11="Amortissable différé total"),Simulation!$F$24*12),Simulation!$E$33*Simulation!$F$9/12,0)</f>
        <v>29.733333333333334</v>
      </c>
      <c r="G53" s="115">
        <f>IF(B53&lt;=MIN(Simulation!$F$10*12+Simulation!$F$12*OR(Simulation!$F$11="Amortissable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partiel",IF(B53&lt;=Simulation!$F$12,Simulation!$E$33*Simulation!$F$8/12,PMT(Simulation!$F$8/12,Simulation!$F$10*12,-Simulation!$E$34)),IF(Simulation!$F$11="Amortissable différé total",IF(B53&lt;=Simulation!$F$12,0,PMT(Simulation!$F$8/12,Simulation!$F$10*12,-Simulation!$E$34)),IF(Simulation!$F$11="In fine",IF(B53=Simulation!$F$10*12,Simulation!$E$34,Simulation!$F$8*Simulation!$E$34/12),0)))),0)</f>
        <v>860.8610094454034</v>
      </c>
      <c r="H53" s="113">
        <f>Simulation!$C$16/12*(1+Simulation!$F$15)^INT((B53-1)/12)*(B53&lt;=Simulation!$F$24*12)</f>
        <v>1030.3009999999999</v>
      </c>
      <c r="I53" s="114">
        <f>(Simulation!$F$22-VLOOKUP(Simulation!$C$27,'Comparatif fiscal'!$B$8:$E$17,4,FALSE)-C53)*(B53=Simulation!$F$24*12)</f>
        <v>0</v>
      </c>
      <c r="J53" s="114">
        <f>(Simulation!$C$21+Simulation!$C$22)/12*(1+Simulation!$F$17)^INT((B53-1)/12)*(B53&lt;=Simulation!$F$24*12)</f>
        <v>128.78762499999999</v>
      </c>
      <c r="K53" s="114">
        <f>(H53*Simulation!$C$24+Simulation!$C$23/12*(1+Simulation!$F$15)^INT((B53-1)/12))*(B53&lt;=Simulation!$F$24*12)</f>
        <v>106.46443666666667</v>
      </c>
      <c r="L53" s="114">
        <f>Simulation!$C$19/12*(1+Simulation!$F$18)^INT((B53-1)/12)*(B53&lt;=Simulation!$F$24*12)</f>
        <v>51.515049999999995</v>
      </c>
      <c r="M53" s="114">
        <f>(Simulation!$C$20/12*(1+Simulation!$F$19)^INT((B53-1)/12)+F53)*(B53&lt;=Simulation!$F$24*12)</f>
        <v>38.319175000000001</v>
      </c>
      <c r="N53" s="114">
        <f ca="1">SUMIF('Détail fiscalité'!$B$8:$B$37,INT(B53/12),'Détail fiscalité'!$CI$8:$CI$37)/12+SUMIF('Détail fiscalité'!$B$8:$B$37,B53/12,'Détail fiscalité'!$CI$8:$CI$37)-SUMIF('Détail fiscalité'!$B$8:$B$37,B53/12-1,'Détail fiscalité'!$CI$8:$CI$37)</f>
        <v>0</v>
      </c>
      <c r="O53" s="116">
        <f t="shared" ca="1" si="5"/>
        <v>-155.6462961120701</v>
      </c>
    </row>
    <row r="54" spans="2:17" x14ac:dyDescent="0.15">
      <c r="B54" s="40">
        <f t="shared" si="0"/>
        <v>47</v>
      </c>
      <c r="C54" s="113">
        <f>IF(B54&lt;=MIN(Simulation!$F$10*12+Simulation!$F$12*OR(Simulation!$F$11="Amortissable différé partiel",Simulation!$F$11="Amortissable différé total"),Simulation!$F$24*12),IF(AND(B54&lt;=Simulation!$F$12,OR(Simulation!$F$11="Amortissable différé partiel",Simulation!$F$11="Amortissable différé total")),C53*(1+(Simulation!$F$11="Amortissable différé total")*Simulation!$F$8/12),C53-D54),0)</f>
        <v>147542.23743946725</v>
      </c>
      <c r="D54" s="114">
        <f>IF(B54&lt;=MIN(Simulation!$F$10*12+Simulation!$F$12*OR(Simulation!$F$11="Amortissable différé partiel",Simulation!$F$11="Amortissable différé total"),Simulation!$F$24*12),G54-E54,0)</f>
        <v>675.58872673764722</v>
      </c>
      <c r="E54" s="114">
        <f>IF(B54&lt;=MIN(Simulation!$F$10*12+Simulation!$F$12*OR(Simulation!$F$11="Amortissable différé partiel",Simulation!$F$11="Amortissable différé total"),Simulation!$F$24*12),IF(AND(B54&lt;=Simulation!$F$12,Simulation!$F$11="Amortissable différé total"),0,C53*Simulation!$F$8/12),0)</f>
        <v>185.27228270775615</v>
      </c>
      <c r="F54" s="114">
        <f>IF(B54&lt;=MIN(Simulation!$F$10*12+Simulation!$F$12*OR(Simulation!$F$11="Amortissable différé partiel",Simulation!$F$11="Amortissable différé total"),Simulation!$F$24*12),Simulation!$E$33*Simulation!$F$9/12,0)</f>
        <v>29.733333333333334</v>
      </c>
      <c r="G54" s="115">
        <f>IF(B54&lt;=MIN(Simulation!$F$10*12+Simulation!$F$12*OR(Simulation!$F$11="Amortissable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partiel",IF(B54&lt;=Simulation!$F$12,Simulation!$E$33*Simulation!$F$8/12,PMT(Simulation!$F$8/12,Simulation!$F$10*12,-Simulation!$E$34)),IF(Simulation!$F$11="Amortissable différé total",IF(B54&lt;=Simulation!$F$12,0,PMT(Simulation!$F$8/12,Simulation!$F$10*12,-Simulation!$E$34)),IF(Simulation!$F$11="In fine",IF(B54=Simulation!$F$10*12,Simulation!$E$34,Simulation!$F$8*Simulation!$E$34/12),0)))),0)</f>
        <v>860.8610094454034</v>
      </c>
      <c r="H54" s="113">
        <f>Simulation!$C$16/12*(1+Simulation!$F$15)^INT((B54-1)/12)*(B54&lt;=Simulation!$F$24*12)</f>
        <v>1030.3009999999999</v>
      </c>
      <c r="I54" s="114">
        <f>(Simulation!$F$22-VLOOKUP(Simulation!$C$27,'Comparatif fiscal'!$B$8:$E$17,4,FALSE)-C54)*(B54=Simulation!$F$24*12)</f>
        <v>0</v>
      </c>
      <c r="J54" s="114">
        <f>(Simulation!$C$21+Simulation!$C$22)/12*(1+Simulation!$F$17)^INT((B54-1)/12)*(B54&lt;=Simulation!$F$24*12)</f>
        <v>128.78762499999999</v>
      </c>
      <c r="K54" s="114">
        <f>(H54*Simulation!$C$24+Simulation!$C$23/12*(1+Simulation!$F$15)^INT((B54-1)/12))*(B54&lt;=Simulation!$F$24*12)</f>
        <v>106.46443666666667</v>
      </c>
      <c r="L54" s="114">
        <f>Simulation!$C$19/12*(1+Simulation!$F$18)^INT((B54-1)/12)*(B54&lt;=Simulation!$F$24*12)</f>
        <v>51.515049999999995</v>
      </c>
      <c r="M54" s="114">
        <f>(Simulation!$C$20/12*(1+Simulation!$F$19)^INT((B54-1)/12)+F54)*(B54&lt;=Simulation!$F$24*12)</f>
        <v>38.319175000000001</v>
      </c>
      <c r="N54" s="114">
        <f ca="1">SUMIF('Détail fiscalité'!$B$8:$B$37,INT(B54/12),'Détail fiscalité'!$CI$8:$CI$37)/12+SUMIF('Détail fiscalité'!$B$8:$B$37,B54/12,'Détail fiscalité'!$CI$8:$CI$37)-SUMIF('Détail fiscalité'!$B$8:$B$37,B54/12-1,'Détail fiscalité'!$CI$8:$CI$37)</f>
        <v>0</v>
      </c>
      <c r="O54" s="116">
        <f t="shared" ca="1" si="5"/>
        <v>-155.6462961120701</v>
      </c>
    </row>
    <row r="55" spans="2:17" x14ac:dyDescent="0.15">
      <c r="B55" s="40">
        <f t="shared" si="0"/>
        <v>48</v>
      </c>
      <c r="C55" s="113">
        <f>IF(B55&lt;=MIN(Simulation!$F$10*12+Simulation!$F$12*OR(Simulation!$F$11="Amortissable différé partiel",Simulation!$F$11="Amortissable différé total"),Simulation!$F$24*12),IF(AND(B55&lt;=Simulation!$F$12,OR(Simulation!$F$11="Amortissable différé partiel",Simulation!$F$11="Amortissable différé total")),C54*(1+(Simulation!$F$11="Amortissable différé total")*Simulation!$F$8/12),C54-D55),0)</f>
        <v>146865.80422682117</v>
      </c>
      <c r="D55" s="114">
        <f>IF(B55&lt;=MIN(Simulation!$F$10*12+Simulation!$F$12*OR(Simulation!$F$11="Amortissable différé partiel",Simulation!$F$11="Amortissable différé total"),Simulation!$F$24*12),G55-E55,0)</f>
        <v>676.43321264606936</v>
      </c>
      <c r="E55" s="114">
        <f>IF(B55&lt;=MIN(Simulation!$F$10*12+Simulation!$F$12*OR(Simulation!$F$11="Amortissable différé partiel",Simulation!$F$11="Amortissable différé total"),Simulation!$F$24*12),IF(AND(B55&lt;=Simulation!$F$12,Simulation!$F$11="Amortissable différé total"),0,C54*Simulation!$F$8/12),0)</f>
        <v>184.42779679933406</v>
      </c>
      <c r="F55" s="114">
        <f>IF(B55&lt;=MIN(Simulation!$F$10*12+Simulation!$F$12*OR(Simulation!$F$11="Amortissable différé partiel",Simulation!$F$11="Amortissable différé total"),Simulation!$F$24*12),Simulation!$E$33*Simulation!$F$9/12,0)</f>
        <v>29.733333333333334</v>
      </c>
      <c r="G55" s="115">
        <f>IF(B55&lt;=MIN(Simulation!$F$10*12+Simulation!$F$12*OR(Simulation!$F$11="Amortissable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partiel",IF(B55&lt;=Simulation!$F$12,Simulation!$E$33*Simulation!$F$8/12,PMT(Simulation!$F$8/12,Simulation!$F$10*12,-Simulation!$E$34)),IF(Simulation!$F$11="Amortissable différé total",IF(B55&lt;=Simulation!$F$12,0,PMT(Simulation!$F$8/12,Simulation!$F$10*12,-Simulation!$E$34)),IF(Simulation!$F$11="In fine",IF(B55=Simulation!$F$10*12,Simulation!$E$34,Simulation!$F$8*Simulation!$E$34/12),0)))),0)</f>
        <v>860.8610094454034</v>
      </c>
      <c r="H55" s="113">
        <f>Simulation!$C$16/12*(1+Simulation!$F$15)^INT((B55-1)/12)*(B55&lt;=Simulation!$F$24*12)</f>
        <v>1030.3009999999999</v>
      </c>
      <c r="I55" s="114">
        <f>(Simulation!$F$22-VLOOKUP(Simulation!$C$27,'Comparatif fiscal'!$B$8:$E$17,4,FALSE)-C55)*(B55=Simulation!$F$24*12)</f>
        <v>0</v>
      </c>
      <c r="J55" s="114">
        <f>(Simulation!$C$21+Simulation!$C$22)/12*(1+Simulation!$F$17)^INT((B55-1)/12)*(B55&lt;=Simulation!$F$24*12)</f>
        <v>128.78762499999999</v>
      </c>
      <c r="K55" s="114">
        <f>(H55*Simulation!$C$24+Simulation!$C$23/12*(1+Simulation!$F$15)^INT((B55-1)/12))*(B55&lt;=Simulation!$F$24*12)</f>
        <v>106.46443666666667</v>
      </c>
      <c r="L55" s="114">
        <f>Simulation!$C$19/12*(1+Simulation!$F$18)^INT((B55-1)/12)*(B55&lt;=Simulation!$F$24*12)</f>
        <v>51.515049999999995</v>
      </c>
      <c r="M55" s="114">
        <f>(Simulation!$C$20/12*(1+Simulation!$F$19)^INT((B55-1)/12)+F55)*(B55&lt;=Simulation!$F$24*12)</f>
        <v>38.319175000000001</v>
      </c>
      <c r="N55" s="114">
        <f ca="1">SUMIF('Détail fiscalité'!$B$8:$B$37,INT(B55/12),'Détail fiscalité'!$CI$8:$CI$37)/12+SUMIF('Détail fiscalité'!$B$8:$B$37,B55/12,'Détail fiscalité'!$CI$8:$CI$37)-SUMIF('Détail fiscalité'!$B$8:$B$37,B55/12-1,'Détail fiscalité'!$CI$8:$CI$37)</f>
        <v>0</v>
      </c>
      <c r="O55" s="116">
        <f t="shared" ca="1" si="5"/>
        <v>-155.6462961120701</v>
      </c>
    </row>
    <row r="56" spans="2:17" x14ac:dyDescent="0.15">
      <c r="B56" s="40">
        <f t="shared" si="0"/>
        <v>49</v>
      </c>
      <c r="C56" s="113">
        <f>IF(B56&lt;=MIN(Simulation!$F$10*12+Simulation!$F$12*OR(Simulation!$F$11="Amortissable différé partiel",Simulation!$F$11="Amortissable différé total"),Simulation!$F$24*12),IF(AND(B56&lt;=Simulation!$F$12,OR(Simulation!$F$11="Amortissable différé partiel",Simulation!$F$11="Amortissable différé total")),C55*(1+(Simulation!$F$11="Amortissable différé total")*Simulation!$F$8/12),C55-D56),0)</f>
        <v>146188.5254726593</v>
      </c>
      <c r="D56" s="114">
        <f>IF(B56&lt;=MIN(Simulation!$F$10*12+Simulation!$F$12*OR(Simulation!$F$11="Amortissable différé partiel",Simulation!$F$11="Amortissable différé total"),Simulation!$F$24*12),G56-E56,0)</f>
        <v>677.27875416187692</v>
      </c>
      <c r="E56" s="114">
        <f>IF(B56&lt;=MIN(Simulation!$F$10*12+Simulation!$F$12*OR(Simulation!$F$11="Amortissable différé partiel",Simulation!$F$11="Amortissable différé total"),Simulation!$F$24*12),IF(AND(B56&lt;=Simulation!$F$12,Simulation!$F$11="Amortissable différé total"),0,C55*Simulation!$F$8/12),0)</f>
        <v>183.58225528352645</v>
      </c>
      <c r="F56" s="114">
        <f>IF(B56&lt;=MIN(Simulation!$F$10*12+Simulation!$F$12*OR(Simulation!$F$11="Amortissable différé partiel",Simulation!$F$11="Amortissable différé total"),Simulation!$F$24*12),Simulation!$E$33*Simulation!$F$9/12,0)</f>
        <v>29.733333333333334</v>
      </c>
      <c r="G56" s="115">
        <f>IF(B56&lt;=MIN(Simulation!$F$10*12+Simulation!$F$12*OR(Simulation!$F$11="Amortissable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partiel",IF(B56&lt;=Simulation!$F$12,Simulation!$E$33*Simulation!$F$8/12,PMT(Simulation!$F$8/12,Simulation!$F$10*12,-Simulation!$E$34)),IF(Simulation!$F$11="Amortissable différé total",IF(B56&lt;=Simulation!$F$12,0,PMT(Simulation!$F$8/12,Simulation!$F$10*12,-Simulation!$E$34)),IF(Simulation!$F$11="In fine",IF(B56=Simulation!$F$10*12,Simulation!$E$34,Simulation!$F$8*Simulation!$E$34/12),0)))),0)</f>
        <v>860.8610094454034</v>
      </c>
      <c r="H56" s="113">
        <f>Simulation!$C$16/12*(1+Simulation!$F$15)^INT((B56-1)/12)*(B56&lt;=Simulation!$F$24*12)</f>
        <v>1040.60401</v>
      </c>
      <c r="I56" s="114">
        <f>(Simulation!$F$22-VLOOKUP(Simulation!$C$27,'Comparatif fiscal'!$B$8:$E$17,4,FALSE)-C56)*(B56=Simulation!$F$24*12)</f>
        <v>0</v>
      </c>
      <c r="J56" s="114">
        <f>(Simulation!$C$21+Simulation!$C$22)/12*(1+Simulation!$F$17)^INT((B56-1)/12)*(B56&lt;=Simulation!$F$24*12)</f>
        <v>130.07550125</v>
      </c>
      <c r="K56" s="114">
        <f>(H56*Simulation!$C$24+Simulation!$C$23/12*(1+Simulation!$F$15)^INT((B56-1)/12))*(B56&lt;=Simulation!$F$24*12)</f>
        <v>107.52908103333334</v>
      </c>
      <c r="L56" s="114">
        <f>Simulation!$C$19/12*(1+Simulation!$F$18)^INT((B56-1)/12)*(B56&lt;=Simulation!$F$24*12)</f>
        <v>52.030200499999999</v>
      </c>
      <c r="M56" s="114">
        <f>(Simulation!$C$20/12*(1+Simulation!$F$19)^INT((B56-1)/12)+F56)*(B56&lt;=Simulation!$F$24*12)</f>
        <v>38.405033416666669</v>
      </c>
      <c r="N56" s="114">
        <f ca="1">SUMIF('Détail fiscalité'!$B$8:$B$37,INT(B56/12),'Détail fiscalité'!$CI$8:$CI$37)/12+SUMIF('Détail fiscalité'!$B$8:$B$37,B56/12,'Détail fiscalité'!$CI$8:$CI$37)-SUMIF('Détail fiscalité'!$B$8:$B$37,B56/12-1,'Détail fiscalité'!$CI$8:$CI$37)</f>
        <v>0</v>
      </c>
      <c r="O56" s="116">
        <f t="shared" ca="1" si="5"/>
        <v>-148.29681564540351</v>
      </c>
    </row>
    <row r="57" spans="2:17" x14ac:dyDescent="0.15">
      <c r="B57" s="40">
        <f t="shared" si="0"/>
        <v>50</v>
      </c>
      <c r="C57" s="113">
        <f>IF(B57&lt;=MIN(Simulation!$F$10*12+Simulation!$F$12*OR(Simulation!$F$11="Amortissable différé partiel",Simulation!$F$11="Amortissable différé total"),Simulation!$F$24*12),IF(AND(B57&lt;=Simulation!$F$12,OR(Simulation!$F$11="Amortissable différé partiel",Simulation!$F$11="Amortissable différé total")),C56*(1+(Simulation!$F$11="Amortissable différé total")*Simulation!$F$8/12),C56-D57),0)</f>
        <v>145510.40012005472</v>
      </c>
      <c r="D57" s="114">
        <f>IF(B57&lt;=MIN(Simulation!$F$10*12+Simulation!$F$12*OR(Simulation!$F$11="Amortissable différé partiel",Simulation!$F$11="Amortissable différé total"),Simulation!$F$24*12),G57-E57,0)</f>
        <v>678.12535260457923</v>
      </c>
      <c r="E57" s="114">
        <f>IF(B57&lt;=MIN(Simulation!$F$10*12+Simulation!$F$12*OR(Simulation!$F$11="Amortissable différé partiel",Simulation!$F$11="Amortissable différé total"),Simulation!$F$24*12),IF(AND(B57&lt;=Simulation!$F$12,Simulation!$F$11="Amortissable différé total"),0,C56*Simulation!$F$8/12),0)</f>
        <v>182.73565684082413</v>
      </c>
      <c r="F57" s="114">
        <f>IF(B57&lt;=MIN(Simulation!$F$10*12+Simulation!$F$12*OR(Simulation!$F$11="Amortissable différé partiel",Simulation!$F$11="Amortissable différé total"),Simulation!$F$24*12),Simulation!$E$33*Simulation!$F$9/12,0)</f>
        <v>29.733333333333334</v>
      </c>
      <c r="G57" s="115">
        <f>IF(B57&lt;=MIN(Simulation!$F$10*12+Simulation!$F$12*OR(Simulation!$F$11="Amortissable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partiel",IF(B57&lt;=Simulation!$F$12,Simulation!$E$33*Simulation!$F$8/12,PMT(Simulation!$F$8/12,Simulation!$F$10*12,-Simulation!$E$34)),IF(Simulation!$F$11="Amortissable différé total",IF(B57&lt;=Simulation!$F$12,0,PMT(Simulation!$F$8/12,Simulation!$F$10*12,-Simulation!$E$34)),IF(Simulation!$F$11="In fine",IF(B57=Simulation!$F$10*12,Simulation!$E$34,Simulation!$F$8*Simulation!$E$34/12),0)))),0)</f>
        <v>860.8610094454034</v>
      </c>
      <c r="H57" s="113">
        <f>Simulation!$C$16/12*(1+Simulation!$F$15)^INT((B57-1)/12)*(B57&lt;=Simulation!$F$24*12)</f>
        <v>1040.60401</v>
      </c>
      <c r="I57" s="114">
        <f>(Simulation!$F$22-VLOOKUP(Simulation!$C$27,'Comparatif fiscal'!$B$8:$E$17,4,FALSE)-C57)*(B57=Simulation!$F$24*12)</f>
        <v>0</v>
      </c>
      <c r="J57" s="114">
        <f>(Simulation!$C$21+Simulation!$C$22)/12*(1+Simulation!$F$17)^INT((B57-1)/12)*(B57&lt;=Simulation!$F$24*12)</f>
        <v>130.07550125</v>
      </c>
      <c r="K57" s="114">
        <f>(H57*Simulation!$C$24+Simulation!$C$23/12*(1+Simulation!$F$15)^INT((B57-1)/12))*(B57&lt;=Simulation!$F$24*12)</f>
        <v>107.52908103333334</v>
      </c>
      <c r="L57" s="114">
        <f>Simulation!$C$19/12*(1+Simulation!$F$18)^INT((B57-1)/12)*(B57&lt;=Simulation!$F$24*12)</f>
        <v>52.030200499999999</v>
      </c>
      <c r="M57" s="114">
        <f>(Simulation!$C$20/12*(1+Simulation!$F$19)^INT((B57-1)/12)+F57)*(B57&lt;=Simulation!$F$24*12)</f>
        <v>38.405033416666669</v>
      </c>
      <c r="N57" s="114">
        <f ca="1">SUMIF('Détail fiscalité'!$B$8:$B$37,INT(B57/12),'Détail fiscalité'!$CI$8:$CI$37)/12+SUMIF('Détail fiscalité'!$B$8:$B$37,B57/12,'Détail fiscalité'!$CI$8:$CI$37)-SUMIF('Détail fiscalité'!$B$8:$B$37,B57/12-1,'Détail fiscalité'!$CI$8:$CI$37)</f>
        <v>0</v>
      </c>
      <c r="O57" s="116">
        <f t="shared" ca="1" si="5"/>
        <v>-148.29681564540351</v>
      </c>
      <c r="Q57" s="42"/>
    </row>
    <row r="58" spans="2:17" x14ac:dyDescent="0.15">
      <c r="B58" s="40">
        <f t="shared" si="0"/>
        <v>51</v>
      </c>
      <c r="C58" s="113">
        <f>IF(B58&lt;=MIN(Simulation!$F$10*12+Simulation!$F$12*OR(Simulation!$F$11="Amortissable différé partiel",Simulation!$F$11="Amortissable différé total"),Simulation!$F$24*12),IF(AND(B58&lt;=Simulation!$F$12,OR(Simulation!$F$11="Amortissable différé partiel",Simulation!$F$11="Amortissable différé total")),C57*(1+(Simulation!$F$11="Amortissable différé total")*Simulation!$F$8/12),C57-D58),0)</f>
        <v>144831.4271107594</v>
      </c>
      <c r="D58" s="114">
        <f>IF(B58&lt;=MIN(Simulation!$F$10*12+Simulation!$F$12*OR(Simulation!$F$11="Amortissable différé partiel",Simulation!$F$11="Amortissable différé total"),Simulation!$F$24*12),G58-E58,0)</f>
        <v>678.97300929533503</v>
      </c>
      <c r="E58" s="114">
        <f>IF(B58&lt;=MIN(Simulation!$F$10*12+Simulation!$F$12*OR(Simulation!$F$11="Amortissable différé partiel",Simulation!$F$11="Amortissable différé total"),Simulation!$F$24*12),IF(AND(B58&lt;=Simulation!$F$12,Simulation!$F$11="Amortissable différé total"),0,C57*Simulation!$F$8/12),0)</f>
        <v>181.88800015006839</v>
      </c>
      <c r="F58" s="114">
        <f>IF(B58&lt;=MIN(Simulation!$F$10*12+Simulation!$F$12*OR(Simulation!$F$11="Amortissable différé partiel",Simulation!$F$11="Amortissable différé total"),Simulation!$F$24*12),Simulation!$E$33*Simulation!$F$9/12,0)</f>
        <v>29.733333333333334</v>
      </c>
      <c r="G58" s="115">
        <f>IF(B58&lt;=MIN(Simulation!$F$10*12+Simulation!$F$12*OR(Simulation!$F$11="Amortissable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partiel",IF(B58&lt;=Simulation!$F$12,Simulation!$E$33*Simulation!$F$8/12,PMT(Simulation!$F$8/12,Simulation!$F$10*12,-Simulation!$E$34)),IF(Simulation!$F$11="Amortissable différé total",IF(B58&lt;=Simulation!$F$12,0,PMT(Simulation!$F$8/12,Simulation!$F$10*12,-Simulation!$E$34)),IF(Simulation!$F$11="In fine",IF(B58=Simulation!$F$10*12,Simulation!$E$34,Simulation!$F$8*Simulation!$E$34/12),0)))),0)</f>
        <v>860.8610094454034</v>
      </c>
      <c r="H58" s="113">
        <f>Simulation!$C$16/12*(1+Simulation!$F$15)^INT((B58-1)/12)*(B58&lt;=Simulation!$F$24*12)</f>
        <v>1040.60401</v>
      </c>
      <c r="I58" s="114">
        <f>(Simulation!$F$22-VLOOKUP(Simulation!$C$27,'Comparatif fiscal'!$B$8:$E$17,4,FALSE)-C58)*(B58=Simulation!$F$24*12)</f>
        <v>0</v>
      </c>
      <c r="J58" s="114">
        <f>(Simulation!$C$21+Simulation!$C$22)/12*(1+Simulation!$F$17)^INT((B58-1)/12)*(B58&lt;=Simulation!$F$24*12)</f>
        <v>130.07550125</v>
      </c>
      <c r="K58" s="114">
        <f>(H58*Simulation!$C$24+Simulation!$C$23/12*(1+Simulation!$F$15)^INT((B58-1)/12))*(B58&lt;=Simulation!$F$24*12)</f>
        <v>107.52908103333334</v>
      </c>
      <c r="L58" s="114">
        <f>Simulation!$C$19/12*(1+Simulation!$F$18)^INT((B58-1)/12)*(B58&lt;=Simulation!$F$24*12)</f>
        <v>52.030200499999999</v>
      </c>
      <c r="M58" s="114">
        <f>(Simulation!$C$20/12*(1+Simulation!$F$19)^INT((B58-1)/12)+F58)*(B58&lt;=Simulation!$F$24*12)</f>
        <v>38.405033416666669</v>
      </c>
      <c r="N58" s="114">
        <f ca="1">SUMIF('Détail fiscalité'!$B$8:$B$37,INT(B58/12),'Détail fiscalité'!$CI$8:$CI$37)/12+SUMIF('Détail fiscalité'!$B$8:$B$37,B58/12,'Détail fiscalité'!$CI$8:$CI$37)-SUMIF('Détail fiscalité'!$B$8:$B$37,B58/12-1,'Détail fiscalité'!$CI$8:$CI$37)</f>
        <v>0</v>
      </c>
      <c r="O58" s="116">
        <f t="shared" ca="1" si="5"/>
        <v>-148.29681564540351</v>
      </c>
    </row>
    <row r="59" spans="2:17" x14ac:dyDescent="0.15">
      <c r="B59" s="40">
        <f t="shared" si="0"/>
        <v>52</v>
      </c>
      <c r="C59" s="113">
        <f>IF(B59&lt;=MIN(Simulation!$F$10*12+Simulation!$F$12*OR(Simulation!$F$11="Amortissable différé partiel",Simulation!$F$11="Amortissable différé total"),Simulation!$F$24*12),IF(AND(B59&lt;=Simulation!$F$12,OR(Simulation!$F$11="Amortissable différé partiel",Simulation!$F$11="Amortissable différé total")),C58*(1+(Simulation!$F$11="Amortissable différé total")*Simulation!$F$8/12),C58-D59),0)</f>
        <v>144151.60538520245</v>
      </c>
      <c r="D59" s="114">
        <f>IF(B59&lt;=MIN(Simulation!$F$10*12+Simulation!$F$12*OR(Simulation!$F$11="Amortissable différé partiel",Simulation!$F$11="Amortissable différé total"),Simulation!$F$24*12),G59-E59,0)</f>
        <v>679.82172555695411</v>
      </c>
      <c r="E59" s="114">
        <f>IF(B59&lt;=MIN(Simulation!$F$10*12+Simulation!$F$12*OR(Simulation!$F$11="Amortissable différé partiel",Simulation!$F$11="Amortissable différé total"),Simulation!$F$24*12),IF(AND(B59&lt;=Simulation!$F$12,Simulation!$F$11="Amortissable différé total"),0,C58*Simulation!$F$8/12),0)</f>
        <v>181.03928388844926</v>
      </c>
      <c r="F59" s="114">
        <f>IF(B59&lt;=MIN(Simulation!$F$10*12+Simulation!$F$12*OR(Simulation!$F$11="Amortissable différé partiel",Simulation!$F$11="Amortissable différé total"),Simulation!$F$24*12),Simulation!$E$33*Simulation!$F$9/12,0)</f>
        <v>29.733333333333334</v>
      </c>
      <c r="G59" s="115">
        <f>IF(B59&lt;=MIN(Simulation!$F$10*12+Simulation!$F$12*OR(Simulation!$F$11="Amortissable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partiel",IF(B59&lt;=Simulation!$F$12,Simulation!$E$33*Simulation!$F$8/12,PMT(Simulation!$F$8/12,Simulation!$F$10*12,-Simulation!$E$34)),IF(Simulation!$F$11="Amortissable différé total",IF(B59&lt;=Simulation!$F$12,0,PMT(Simulation!$F$8/12,Simulation!$F$10*12,-Simulation!$E$34)),IF(Simulation!$F$11="In fine",IF(B59=Simulation!$F$10*12,Simulation!$E$34,Simulation!$F$8*Simulation!$E$34/12),0)))),0)</f>
        <v>860.8610094454034</v>
      </c>
      <c r="H59" s="113">
        <f>Simulation!$C$16/12*(1+Simulation!$F$15)^INT((B59-1)/12)*(B59&lt;=Simulation!$F$24*12)</f>
        <v>1040.60401</v>
      </c>
      <c r="I59" s="114">
        <f>(Simulation!$F$22-VLOOKUP(Simulation!$C$27,'Comparatif fiscal'!$B$8:$E$17,4,FALSE)-C59)*(B59=Simulation!$F$24*12)</f>
        <v>0</v>
      </c>
      <c r="J59" s="114">
        <f>(Simulation!$C$21+Simulation!$C$22)/12*(1+Simulation!$F$17)^INT((B59-1)/12)*(B59&lt;=Simulation!$F$24*12)</f>
        <v>130.07550125</v>
      </c>
      <c r="K59" s="114">
        <f>(H59*Simulation!$C$24+Simulation!$C$23/12*(1+Simulation!$F$15)^INT((B59-1)/12))*(B59&lt;=Simulation!$F$24*12)</f>
        <v>107.52908103333334</v>
      </c>
      <c r="L59" s="114">
        <f>Simulation!$C$19/12*(1+Simulation!$F$18)^INT((B59-1)/12)*(B59&lt;=Simulation!$F$24*12)</f>
        <v>52.030200499999999</v>
      </c>
      <c r="M59" s="114">
        <f>(Simulation!$C$20/12*(1+Simulation!$F$19)^INT((B59-1)/12)+F59)*(B59&lt;=Simulation!$F$24*12)</f>
        <v>38.405033416666669</v>
      </c>
      <c r="N59" s="114">
        <f ca="1">SUMIF('Détail fiscalité'!$B$8:$B$37,INT(B59/12),'Détail fiscalité'!$CI$8:$CI$37)/12+SUMIF('Détail fiscalité'!$B$8:$B$37,B59/12,'Détail fiscalité'!$CI$8:$CI$37)-SUMIF('Détail fiscalité'!$B$8:$B$37,B59/12-1,'Détail fiscalité'!$CI$8:$CI$37)</f>
        <v>0</v>
      </c>
      <c r="O59" s="116">
        <f t="shared" ca="1" si="5"/>
        <v>-148.29681564540351</v>
      </c>
    </row>
    <row r="60" spans="2:17" x14ac:dyDescent="0.15">
      <c r="B60" s="40">
        <f t="shared" si="0"/>
        <v>53</v>
      </c>
      <c r="C60" s="113">
        <f>IF(B60&lt;=MIN(Simulation!$F$10*12+Simulation!$F$12*OR(Simulation!$F$11="Amortissable différé partiel",Simulation!$F$11="Amortissable différé total"),Simulation!$F$24*12),IF(AND(B60&lt;=Simulation!$F$12,OR(Simulation!$F$11="Amortissable différé partiel",Simulation!$F$11="Amortissable différé total")),C59*(1+(Simulation!$F$11="Amortissable différé total")*Simulation!$F$8/12),C59-D60),0)</f>
        <v>143470.93388248855</v>
      </c>
      <c r="D60" s="114">
        <f>IF(B60&lt;=MIN(Simulation!$F$10*12+Simulation!$F$12*OR(Simulation!$F$11="Amortissable différé partiel",Simulation!$F$11="Amortissable différé total"),Simulation!$F$24*12),G60-E60,0)</f>
        <v>680.6715027139004</v>
      </c>
      <c r="E60" s="114">
        <f>IF(B60&lt;=MIN(Simulation!$F$10*12+Simulation!$F$12*OR(Simulation!$F$11="Amortissable différé partiel",Simulation!$F$11="Amortissable différé total"),Simulation!$F$24*12),IF(AND(B60&lt;=Simulation!$F$12,Simulation!$F$11="Amortissable différé total"),0,C59*Simulation!$F$8/12),0)</f>
        <v>180.18950673150303</v>
      </c>
      <c r="F60" s="114">
        <f>IF(B60&lt;=MIN(Simulation!$F$10*12+Simulation!$F$12*OR(Simulation!$F$11="Amortissable différé partiel",Simulation!$F$11="Amortissable différé total"),Simulation!$F$24*12),Simulation!$E$33*Simulation!$F$9/12,0)</f>
        <v>29.733333333333334</v>
      </c>
      <c r="G60" s="115">
        <f>IF(B60&lt;=MIN(Simulation!$F$10*12+Simulation!$F$12*OR(Simulation!$F$11="Amortissable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partiel",IF(B60&lt;=Simulation!$F$12,Simulation!$E$33*Simulation!$F$8/12,PMT(Simulation!$F$8/12,Simulation!$F$10*12,-Simulation!$E$34)),IF(Simulation!$F$11="Amortissable différé total",IF(B60&lt;=Simulation!$F$12,0,PMT(Simulation!$F$8/12,Simulation!$F$10*12,-Simulation!$E$34)),IF(Simulation!$F$11="In fine",IF(B60=Simulation!$F$10*12,Simulation!$E$34,Simulation!$F$8*Simulation!$E$34/12),0)))),0)</f>
        <v>860.8610094454034</v>
      </c>
      <c r="H60" s="113">
        <f>Simulation!$C$16/12*(1+Simulation!$F$15)^INT((B60-1)/12)*(B60&lt;=Simulation!$F$24*12)</f>
        <v>1040.60401</v>
      </c>
      <c r="I60" s="114">
        <f>(Simulation!$F$22-VLOOKUP(Simulation!$C$27,'Comparatif fiscal'!$B$8:$E$17,4,FALSE)-C60)*(B60=Simulation!$F$24*12)</f>
        <v>0</v>
      </c>
      <c r="J60" s="114">
        <f>(Simulation!$C$21+Simulation!$C$22)/12*(1+Simulation!$F$17)^INT((B60-1)/12)*(B60&lt;=Simulation!$F$24*12)</f>
        <v>130.07550125</v>
      </c>
      <c r="K60" s="114">
        <f>(H60*Simulation!$C$24+Simulation!$C$23/12*(1+Simulation!$F$15)^INT((B60-1)/12))*(B60&lt;=Simulation!$F$24*12)</f>
        <v>107.52908103333334</v>
      </c>
      <c r="L60" s="114">
        <f>Simulation!$C$19/12*(1+Simulation!$F$18)^INT((B60-1)/12)*(B60&lt;=Simulation!$F$24*12)</f>
        <v>52.030200499999999</v>
      </c>
      <c r="M60" s="114">
        <f>(Simulation!$C$20/12*(1+Simulation!$F$19)^INT((B60-1)/12)+F60)*(B60&lt;=Simulation!$F$24*12)</f>
        <v>38.405033416666669</v>
      </c>
      <c r="N60" s="114">
        <f ca="1">SUMIF('Détail fiscalité'!$B$8:$B$37,INT(B60/12),'Détail fiscalité'!$CI$8:$CI$37)/12+SUMIF('Détail fiscalité'!$B$8:$B$37,B60/12,'Détail fiscalité'!$CI$8:$CI$37)-SUMIF('Détail fiscalité'!$B$8:$B$37,B60/12-1,'Détail fiscalité'!$CI$8:$CI$37)</f>
        <v>0</v>
      </c>
      <c r="O60" s="116">
        <f t="shared" ca="1" si="5"/>
        <v>-148.29681564540351</v>
      </c>
    </row>
    <row r="61" spans="2:17" x14ac:dyDescent="0.15">
      <c r="B61" s="40">
        <f t="shared" si="0"/>
        <v>54</v>
      </c>
      <c r="C61" s="113">
        <f>IF(B61&lt;=MIN(Simulation!$F$10*12+Simulation!$F$12*OR(Simulation!$F$11="Amortissable différé partiel",Simulation!$F$11="Amortissable différé total"),Simulation!$F$24*12),IF(AND(B61&lt;=Simulation!$F$12,OR(Simulation!$F$11="Amortissable différé partiel",Simulation!$F$11="Amortissable différé total")),C60*(1+(Simulation!$F$11="Amortissable différé total")*Simulation!$F$8/12),C60-D61),0)</f>
        <v>142789.41154039625</v>
      </c>
      <c r="D61" s="114">
        <f>IF(B61&lt;=MIN(Simulation!$F$10*12+Simulation!$F$12*OR(Simulation!$F$11="Amortissable différé partiel",Simulation!$F$11="Amortissable différé total"),Simulation!$F$24*12),G61-E61,0)</f>
        <v>681.52234209229266</v>
      </c>
      <c r="E61" s="114">
        <f>IF(B61&lt;=MIN(Simulation!$F$10*12+Simulation!$F$12*OR(Simulation!$F$11="Amortissable différé partiel",Simulation!$F$11="Amortissable différé total"),Simulation!$F$24*12),IF(AND(B61&lt;=Simulation!$F$12,Simulation!$F$11="Amortissable différé total"),0,C60*Simulation!$F$8/12),0)</f>
        <v>179.33866735311071</v>
      </c>
      <c r="F61" s="114">
        <f>IF(B61&lt;=MIN(Simulation!$F$10*12+Simulation!$F$12*OR(Simulation!$F$11="Amortissable différé partiel",Simulation!$F$11="Amortissable différé total"),Simulation!$F$24*12),Simulation!$E$33*Simulation!$F$9/12,0)</f>
        <v>29.733333333333334</v>
      </c>
      <c r="G61" s="115">
        <f>IF(B61&lt;=MIN(Simulation!$F$10*12+Simulation!$F$12*OR(Simulation!$F$11="Amortissable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partiel",IF(B61&lt;=Simulation!$F$12,Simulation!$E$33*Simulation!$F$8/12,PMT(Simulation!$F$8/12,Simulation!$F$10*12,-Simulation!$E$34)),IF(Simulation!$F$11="Amortissable différé total",IF(B61&lt;=Simulation!$F$12,0,PMT(Simulation!$F$8/12,Simulation!$F$10*12,-Simulation!$E$34)),IF(Simulation!$F$11="In fine",IF(B61=Simulation!$F$10*12,Simulation!$E$34,Simulation!$F$8*Simulation!$E$34/12),0)))),0)</f>
        <v>860.8610094454034</v>
      </c>
      <c r="H61" s="113">
        <f>Simulation!$C$16/12*(1+Simulation!$F$15)^INT((B61-1)/12)*(B61&lt;=Simulation!$F$24*12)</f>
        <v>1040.60401</v>
      </c>
      <c r="I61" s="114">
        <f>(Simulation!$F$22-VLOOKUP(Simulation!$C$27,'Comparatif fiscal'!$B$8:$E$17,4,FALSE)-C61)*(B61=Simulation!$F$24*12)</f>
        <v>0</v>
      </c>
      <c r="J61" s="114">
        <f>(Simulation!$C$21+Simulation!$C$22)/12*(1+Simulation!$F$17)^INT((B61-1)/12)*(B61&lt;=Simulation!$F$24*12)</f>
        <v>130.07550125</v>
      </c>
      <c r="K61" s="114">
        <f>(H61*Simulation!$C$24+Simulation!$C$23/12*(1+Simulation!$F$15)^INT((B61-1)/12))*(B61&lt;=Simulation!$F$24*12)</f>
        <v>107.52908103333334</v>
      </c>
      <c r="L61" s="114">
        <f>Simulation!$C$19/12*(1+Simulation!$F$18)^INT((B61-1)/12)*(B61&lt;=Simulation!$F$24*12)</f>
        <v>52.030200499999999</v>
      </c>
      <c r="M61" s="114">
        <f>(Simulation!$C$20/12*(1+Simulation!$F$19)^INT((B61-1)/12)+F61)*(B61&lt;=Simulation!$F$24*12)</f>
        <v>38.405033416666669</v>
      </c>
      <c r="N61" s="114">
        <f ca="1">SUMIF('Détail fiscalité'!$B$8:$B$37,INT(B61/12),'Détail fiscalité'!$CI$8:$CI$37)/12+SUMIF('Détail fiscalité'!$B$8:$B$37,B61/12,'Détail fiscalité'!$CI$8:$CI$37)-SUMIF('Détail fiscalité'!$B$8:$B$37,B61/12-1,'Détail fiscalité'!$CI$8:$CI$37)</f>
        <v>0</v>
      </c>
      <c r="O61" s="116">
        <f t="shared" ca="1" si="5"/>
        <v>-148.29681564540351</v>
      </c>
    </row>
    <row r="62" spans="2:17" x14ac:dyDescent="0.15">
      <c r="B62" s="40">
        <f t="shared" si="0"/>
        <v>55</v>
      </c>
      <c r="C62" s="113">
        <f>IF(B62&lt;=MIN(Simulation!$F$10*12+Simulation!$F$12*OR(Simulation!$F$11="Amortissable différé partiel",Simulation!$F$11="Amortissable différé total"),Simulation!$F$24*12),IF(AND(B62&lt;=Simulation!$F$12,OR(Simulation!$F$11="Amortissable différé partiel",Simulation!$F$11="Amortissable différé total")),C61*(1+(Simulation!$F$11="Amortissable différé total")*Simulation!$F$8/12),C61-D62),0)</f>
        <v>142107.03729537633</v>
      </c>
      <c r="D62" s="114">
        <f>IF(B62&lt;=MIN(Simulation!$F$10*12+Simulation!$F$12*OR(Simulation!$F$11="Amortissable différé partiel",Simulation!$F$11="Amortissable différé total"),Simulation!$F$24*12),G62-E62,0)</f>
        <v>682.37424501990813</v>
      </c>
      <c r="E62" s="114">
        <f>IF(B62&lt;=MIN(Simulation!$F$10*12+Simulation!$F$12*OR(Simulation!$F$11="Amortissable différé partiel",Simulation!$F$11="Amortissable différé total"),Simulation!$F$24*12),IF(AND(B62&lt;=Simulation!$F$12,Simulation!$F$11="Amortissable différé total"),0,C61*Simulation!$F$8/12),0)</f>
        <v>178.48676442549529</v>
      </c>
      <c r="F62" s="114">
        <f>IF(B62&lt;=MIN(Simulation!$F$10*12+Simulation!$F$12*OR(Simulation!$F$11="Amortissable différé partiel",Simulation!$F$11="Amortissable différé total"),Simulation!$F$24*12),Simulation!$E$33*Simulation!$F$9/12,0)</f>
        <v>29.733333333333334</v>
      </c>
      <c r="G62" s="115">
        <f>IF(B62&lt;=MIN(Simulation!$F$10*12+Simulation!$F$12*OR(Simulation!$F$11="Amortissable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partiel",IF(B62&lt;=Simulation!$F$12,Simulation!$E$33*Simulation!$F$8/12,PMT(Simulation!$F$8/12,Simulation!$F$10*12,-Simulation!$E$34)),IF(Simulation!$F$11="Amortissable différé total",IF(B62&lt;=Simulation!$F$12,0,PMT(Simulation!$F$8/12,Simulation!$F$10*12,-Simulation!$E$34)),IF(Simulation!$F$11="In fine",IF(B62=Simulation!$F$10*12,Simulation!$E$34,Simulation!$F$8*Simulation!$E$34/12),0)))),0)</f>
        <v>860.8610094454034</v>
      </c>
      <c r="H62" s="113">
        <f>Simulation!$C$16/12*(1+Simulation!$F$15)^INT((B62-1)/12)*(B62&lt;=Simulation!$F$24*12)</f>
        <v>1040.60401</v>
      </c>
      <c r="I62" s="114">
        <f>(Simulation!$F$22-VLOOKUP(Simulation!$C$27,'Comparatif fiscal'!$B$8:$E$17,4,FALSE)-C62)*(B62=Simulation!$F$24*12)</f>
        <v>0</v>
      </c>
      <c r="J62" s="114">
        <f>(Simulation!$C$21+Simulation!$C$22)/12*(1+Simulation!$F$17)^INT((B62-1)/12)*(B62&lt;=Simulation!$F$24*12)</f>
        <v>130.07550125</v>
      </c>
      <c r="K62" s="114">
        <f>(H62*Simulation!$C$24+Simulation!$C$23/12*(1+Simulation!$F$15)^INT((B62-1)/12))*(B62&lt;=Simulation!$F$24*12)</f>
        <v>107.52908103333334</v>
      </c>
      <c r="L62" s="114">
        <f>Simulation!$C$19/12*(1+Simulation!$F$18)^INT((B62-1)/12)*(B62&lt;=Simulation!$F$24*12)</f>
        <v>52.030200499999999</v>
      </c>
      <c r="M62" s="114">
        <f>(Simulation!$C$20/12*(1+Simulation!$F$19)^INT((B62-1)/12)+F62)*(B62&lt;=Simulation!$F$24*12)</f>
        <v>38.405033416666669</v>
      </c>
      <c r="N62" s="114">
        <f ca="1">SUMIF('Détail fiscalité'!$B$8:$B$37,INT(B62/12),'Détail fiscalité'!$CI$8:$CI$37)/12+SUMIF('Détail fiscalité'!$B$8:$B$37,B62/12,'Détail fiscalité'!$CI$8:$CI$37)-SUMIF('Détail fiscalité'!$B$8:$B$37,B62/12-1,'Détail fiscalité'!$CI$8:$CI$37)</f>
        <v>0</v>
      </c>
      <c r="O62" s="116">
        <f t="shared" ca="1" si="5"/>
        <v>-148.29681564540351</v>
      </c>
    </row>
    <row r="63" spans="2:17" x14ac:dyDescent="0.15">
      <c r="B63" s="40">
        <f t="shared" si="0"/>
        <v>56</v>
      </c>
      <c r="C63" s="113">
        <f>IF(B63&lt;=MIN(Simulation!$F$10*12+Simulation!$F$12*OR(Simulation!$F$11="Amortissable différé partiel",Simulation!$F$11="Amortissable différé total"),Simulation!$F$24*12),IF(AND(B63&lt;=Simulation!$F$12,OR(Simulation!$F$11="Amortissable différé partiel",Simulation!$F$11="Amortissable différé total")),C62*(1+(Simulation!$F$11="Amortissable différé total")*Simulation!$F$8/12),C62-D63),0)</f>
        <v>141423.81008255016</v>
      </c>
      <c r="D63" s="114">
        <f>IF(B63&lt;=MIN(Simulation!$F$10*12+Simulation!$F$12*OR(Simulation!$F$11="Amortissable différé partiel",Simulation!$F$11="Amortissable différé total"),Simulation!$F$24*12),G63-E63,0)</f>
        <v>683.22721282618295</v>
      </c>
      <c r="E63" s="114">
        <f>IF(B63&lt;=MIN(Simulation!$F$10*12+Simulation!$F$12*OR(Simulation!$F$11="Amortissable différé partiel",Simulation!$F$11="Amortissable différé total"),Simulation!$F$24*12),IF(AND(B63&lt;=Simulation!$F$12,Simulation!$F$11="Amortissable différé total"),0,C62*Simulation!$F$8/12),0)</f>
        <v>177.63379661922042</v>
      </c>
      <c r="F63" s="114">
        <f>IF(B63&lt;=MIN(Simulation!$F$10*12+Simulation!$F$12*OR(Simulation!$F$11="Amortissable différé partiel",Simulation!$F$11="Amortissable différé total"),Simulation!$F$24*12),Simulation!$E$33*Simulation!$F$9/12,0)</f>
        <v>29.733333333333334</v>
      </c>
      <c r="G63" s="115">
        <f>IF(B63&lt;=MIN(Simulation!$F$10*12+Simulation!$F$12*OR(Simulation!$F$11="Amortissable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partiel",IF(B63&lt;=Simulation!$F$12,Simulation!$E$33*Simulation!$F$8/12,PMT(Simulation!$F$8/12,Simulation!$F$10*12,-Simulation!$E$34)),IF(Simulation!$F$11="Amortissable différé total",IF(B63&lt;=Simulation!$F$12,0,PMT(Simulation!$F$8/12,Simulation!$F$10*12,-Simulation!$E$34)),IF(Simulation!$F$11="In fine",IF(B63=Simulation!$F$10*12,Simulation!$E$34,Simulation!$F$8*Simulation!$E$34/12),0)))),0)</f>
        <v>860.8610094454034</v>
      </c>
      <c r="H63" s="113">
        <f>Simulation!$C$16/12*(1+Simulation!$F$15)^INT((B63-1)/12)*(B63&lt;=Simulation!$F$24*12)</f>
        <v>1040.60401</v>
      </c>
      <c r="I63" s="114">
        <f>(Simulation!$F$22-VLOOKUP(Simulation!$C$27,'Comparatif fiscal'!$B$8:$E$17,4,FALSE)-C63)*(B63=Simulation!$F$24*12)</f>
        <v>0</v>
      </c>
      <c r="J63" s="114">
        <f>(Simulation!$C$21+Simulation!$C$22)/12*(1+Simulation!$F$17)^INT((B63-1)/12)*(B63&lt;=Simulation!$F$24*12)</f>
        <v>130.07550125</v>
      </c>
      <c r="K63" s="114">
        <f>(H63*Simulation!$C$24+Simulation!$C$23/12*(1+Simulation!$F$15)^INT((B63-1)/12))*(B63&lt;=Simulation!$F$24*12)</f>
        <v>107.52908103333334</v>
      </c>
      <c r="L63" s="114">
        <f>Simulation!$C$19/12*(1+Simulation!$F$18)^INT((B63-1)/12)*(B63&lt;=Simulation!$F$24*12)</f>
        <v>52.030200499999999</v>
      </c>
      <c r="M63" s="114">
        <f>(Simulation!$C$20/12*(1+Simulation!$F$19)^INT((B63-1)/12)+F63)*(B63&lt;=Simulation!$F$24*12)</f>
        <v>38.405033416666669</v>
      </c>
      <c r="N63" s="114">
        <f ca="1">SUMIF('Détail fiscalité'!$B$8:$B$37,INT(B63/12),'Détail fiscalité'!$CI$8:$CI$37)/12+SUMIF('Détail fiscalité'!$B$8:$B$37,B63/12,'Détail fiscalité'!$CI$8:$CI$37)-SUMIF('Détail fiscalité'!$B$8:$B$37,B63/12-1,'Détail fiscalité'!$CI$8:$CI$37)</f>
        <v>0</v>
      </c>
      <c r="O63" s="116">
        <f t="shared" ca="1" si="5"/>
        <v>-148.29681564540351</v>
      </c>
    </row>
    <row r="64" spans="2:17" x14ac:dyDescent="0.15">
      <c r="B64" s="40">
        <f t="shared" si="0"/>
        <v>57</v>
      </c>
      <c r="C64" s="113">
        <f>IF(B64&lt;=MIN(Simulation!$F$10*12+Simulation!$F$12*OR(Simulation!$F$11="Amortissable différé partiel",Simulation!$F$11="Amortissable différé total"),Simulation!$F$24*12),IF(AND(B64&lt;=Simulation!$F$12,OR(Simulation!$F$11="Amortissable différé partiel",Simulation!$F$11="Amortissable différé total")),C63*(1+(Simulation!$F$11="Amortissable différé total")*Simulation!$F$8/12),C63-D64),0)</f>
        <v>140739.72883570794</v>
      </c>
      <c r="D64" s="114">
        <f>IF(B64&lt;=MIN(Simulation!$F$10*12+Simulation!$F$12*OR(Simulation!$F$11="Amortissable différé partiel",Simulation!$F$11="Amortissable différé total"),Simulation!$F$24*12),G64-E64,0)</f>
        <v>684.08124684221571</v>
      </c>
      <c r="E64" s="114">
        <f>IF(B64&lt;=MIN(Simulation!$F$10*12+Simulation!$F$12*OR(Simulation!$F$11="Amortissable différé partiel",Simulation!$F$11="Amortissable différé total"),Simulation!$F$24*12),IF(AND(B64&lt;=Simulation!$F$12,Simulation!$F$11="Amortissable différé total"),0,C63*Simulation!$F$8/12),0)</f>
        <v>176.77976260318769</v>
      </c>
      <c r="F64" s="114">
        <f>IF(B64&lt;=MIN(Simulation!$F$10*12+Simulation!$F$12*OR(Simulation!$F$11="Amortissable différé partiel",Simulation!$F$11="Amortissable différé total"),Simulation!$F$24*12),Simulation!$E$33*Simulation!$F$9/12,0)</f>
        <v>29.733333333333334</v>
      </c>
      <c r="G64" s="115">
        <f>IF(B64&lt;=MIN(Simulation!$F$10*12+Simulation!$F$12*OR(Simulation!$F$11="Amortissable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partiel",IF(B64&lt;=Simulation!$F$12,Simulation!$E$33*Simulation!$F$8/12,PMT(Simulation!$F$8/12,Simulation!$F$10*12,-Simulation!$E$34)),IF(Simulation!$F$11="Amortissable différé total",IF(B64&lt;=Simulation!$F$12,0,PMT(Simulation!$F$8/12,Simulation!$F$10*12,-Simulation!$E$34)),IF(Simulation!$F$11="In fine",IF(B64=Simulation!$F$10*12,Simulation!$E$34,Simulation!$F$8*Simulation!$E$34/12),0)))),0)</f>
        <v>860.8610094454034</v>
      </c>
      <c r="H64" s="113">
        <f>Simulation!$C$16/12*(1+Simulation!$F$15)^INT((B64-1)/12)*(B64&lt;=Simulation!$F$24*12)</f>
        <v>1040.60401</v>
      </c>
      <c r="I64" s="114">
        <f>(Simulation!$F$22-VLOOKUP(Simulation!$C$27,'Comparatif fiscal'!$B$8:$E$17,4,FALSE)-C64)*(B64=Simulation!$F$24*12)</f>
        <v>0</v>
      </c>
      <c r="J64" s="114">
        <f>(Simulation!$C$21+Simulation!$C$22)/12*(1+Simulation!$F$17)^INT((B64-1)/12)*(B64&lt;=Simulation!$F$24*12)</f>
        <v>130.07550125</v>
      </c>
      <c r="K64" s="114">
        <f>(H64*Simulation!$C$24+Simulation!$C$23/12*(1+Simulation!$F$15)^INT((B64-1)/12))*(B64&lt;=Simulation!$F$24*12)</f>
        <v>107.52908103333334</v>
      </c>
      <c r="L64" s="114">
        <f>Simulation!$C$19/12*(1+Simulation!$F$18)^INT((B64-1)/12)*(B64&lt;=Simulation!$F$24*12)</f>
        <v>52.030200499999999</v>
      </c>
      <c r="M64" s="114">
        <f>(Simulation!$C$20/12*(1+Simulation!$F$19)^INT((B64-1)/12)+F64)*(B64&lt;=Simulation!$F$24*12)</f>
        <v>38.405033416666669</v>
      </c>
      <c r="N64" s="114">
        <f ca="1">SUMIF('Détail fiscalité'!$B$8:$B$37,INT(B64/12),'Détail fiscalité'!$CI$8:$CI$37)/12+SUMIF('Détail fiscalité'!$B$8:$B$37,B64/12,'Détail fiscalité'!$CI$8:$CI$37)-SUMIF('Détail fiscalité'!$B$8:$B$37,B64/12-1,'Détail fiscalité'!$CI$8:$CI$37)</f>
        <v>0</v>
      </c>
      <c r="O64" s="116">
        <f t="shared" ca="1" si="5"/>
        <v>-148.29681564540351</v>
      </c>
    </row>
    <row r="65" spans="2:18" x14ac:dyDescent="0.15">
      <c r="B65" s="40">
        <f t="shared" si="0"/>
        <v>58</v>
      </c>
      <c r="C65" s="113">
        <f>IF(B65&lt;=MIN(Simulation!$F$10*12+Simulation!$F$12*OR(Simulation!$F$11="Amortissable différé partiel",Simulation!$F$11="Amortissable différé total"),Simulation!$F$24*12),IF(AND(B65&lt;=Simulation!$F$12,OR(Simulation!$F$11="Amortissable différé partiel",Simulation!$F$11="Amortissable différé total")),C64*(1+(Simulation!$F$11="Amortissable différé total")*Simulation!$F$8/12),C64-D65),0)</f>
        <v>140054.79248730716</v>
      </c>
      <c r="D65" s="114">
        <f>IF(B65&lt;=MIN(Simulation!$F$10*12+Simulation!$F$12*OR(Simulation!$F$11="Amortissable différé partiel",Simulation!$F$11="Amortissable différé total"),Simulation!$F$24*12),G65-E65,0)</f>
        <v>684.93634840076845</v>
      </c>
      <c r="E65" s="114">
        <f>IF(B65&lt;=MIN(Simulation!$F$10*12+Simulation!$F$12*OR(Simulation!$F$11="Amortissable différé partiel",Simulation!$F$11="Amortissable différé total"),Simulation!$F$24*12),IF(AND(B65&lt;=Simulation!$F$12,Simulation!$F$11="Amortissable différé total"),0,C64*Simulation!$F$8/12),0)</f>
        <v>175.92466104463492</v>
      </c>
      <c r="F65" s="114">
        <f>IF(B65&lt;=MIN(Simulation!$F$10*12+Simulation!$F$12*OR(Simulation!$F$11="Amortissable différé partiel",Simulation!$F$11="Amortissable différé total"),Simulation!$F$24*12),Simulation!$E$33*Simulation!$F$9/12,0)</f>
        <v>29.733333333333334</v>
      </c>
      <c r="G65" s="115">
        <f>IF(B65&lt;=MIN(Simulation!$F$10*12+Simulation!$F$12*OR(Simulation!$F$11="Amortissable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partiel",IF(B65&lt;=Simulation!$F$12,Simulation!$E$33*Simulation!$F$8/12,PMT(Simulation!$F$8/12,Simulation!$F$10*12,-Simulation!$E$34)),IF(Simulation!$F$11="Amortissable différé total",IF(B65&lt;=Simulation!$F$12,0,PMT(Simulation!$F$8/12,Simulation!$F$10*12,-Simulation!$E$34)),IF(Simulation!$F$11="In fine",IF(B65=Simulation!$F$10*12,Simulation!$E$34,Simulation!$F$8*Simulation!$E$34/12),0)))),0)</f>
        <v>860.8610094454034</v>
      </c>
      <c r="H65" s="113">
        <f>Simulation!$C$16/12*(1+Simulation!$F$15)^INT((B65-1)/12)*(B65&lt;=Simulation!$F$24*12)</f>
        <v>1040.60401</v>
      </c>
      <c r="I65" s="114">
        <f>(Simulation!$F$22-VLOOKUP(Simulation!$C$27,'Comparatif fiscal'!$B$8:$E$17,4,FALSE)-C65)*(B65=Simulation!$F$24*12)</f>
        <v>0</v>
      </c>
      <c r="J65" s="114">
        <f>(Simulation!$C$21+Simulation!$C$22)/12*(1+Simulation!$F$17)^INT((B65-1)/12)*(B65&lt;=Simulation!$F$24*12)</f>
        <v>130.07550125</v>
      </c>
      <c r="K65" s="114">
        <f>(H65*Simulation!$C$24+Simulation!$C$23/12*(1+Simulation!$F$15)^INT((B65-1)/12))*(B65&lt;=Simulation!$F$24*12)</f>
        <v>107.52908103333334</v>
      </c>
      <c r="L65" s="114">
        <f>Simulation!$C$19/12*(1+Simulation!$F$18)^INT((B65-1)/12)*(B65&lt;=Simulation!$F$24*12)</f>
        <v>52.030200499999999</v>
      </c>
      <c r="M65" s="114">
        <f>(Simulation!$C$20/12*(1+Simulation!$F$19)^INT((B65-1)/12)+F65)*(B65&lt;=Simulation!$F$24*12)</f>
        <v>38.405033416666669</v>
      </c>
      <c r="N65" s="114">
        <f ca="1">SUMIF('Détail fiscalité'!$B$8:$B$37,INT(B65/12),'Détail fiscalité'!$CI$8:$CI$37)/12+SUMIF('Détail fiscalité'!$B$8:$B$37,B65/12,'Détail fiscalité'!$CI$8:$CI$37)-SUMIF('Détail fiscalité'!$B$8:$B$37,B65/12-1,'Détail fiscalité'!$CI$8:$CI$37)</f>
        <v>0</v>
      </c>
      <c r="O65" s="116">
        <f t="shared" ca="1" si="5"/>
        <v>-148.29681564540351</v>
      </c>
    </row>
    <row r="66" spans="2:18" x14ac:dyDescent="0.15">
      <c r="B66" s="40">
        <f t="shared" si="0"/>
        <v>59</v>
      </c>
      <c r="C66" s="113">
        <f>IF(B66&lt;=MIN(Simulation!$F$10*12+Simulation!$F$12*OR(Simulation!$F$11="Amortissable différé partiel",Simulation!$F$11="Amortissable différé total"),Simulation!$F$24*12),IF(AND(B66&lt;=Simulation!$F$12,OR(Simulation!$F$11="Amortissable différé partiel",Simulation!$F$11="Amortissable différé total")),C65*(1+(Simulation!$F$11="Amortissable différé total")*Simulation!$F$8/12),C65-D66),0)</f>
        <v>139368.99996847089</v>
      </c>
      <c r="D66" s="114">
        <f>IF(B66&lt;=MIN(Simulation!$F$10*12+Simulation!$F$12*OR(Simulation!$F$11="Amortissable différé partiel",Simulation!$F$11="Amortissable différé total"),Simulation!$F$24*12),G66-E66,0)</f>
        <v>685.79251883626944</v>
      </c>
      <c r="E66" s="114">
        <f>IF(B66&lt;=MIN(Simulation!$F$10*12+Simulation!$F$12*OR(Simulation!$F$11="Amortissable différé partiel",Simulation!$F$11="Amortissable différé total"),Simulation!$F$24*12),IF(AND(B66&lt;=Simulation!$F$12,Simulation!$F$11="Amortissable différé total"),0,C65*Simulation!$F$8/12),0)</f>
        <v>175.06849060913396</v>
      </c>
      <c r="F66" s="114">
        <f>IF(B66&lt;=MIN(Simulation!$F$10*12+Simulation!$F$12*OR(Simulation!$F$11="Amortissable différé partiel",Simulation!$F$11="Amortissable différé total"),Simulation!$F$24*12),Simulation!$E$33*Simulation!$F$9/12,0)</f>
        <v>29.733333333333334</v>
      </c>
      <c r="G66" s="115">
        <f>IF(B66&lt;=MIN(Simulation!$F$10*12+Simulation!$F$12*OR(Simulation!$F$11="Amortissable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partiel",IF(B66&lt;=Simulation!$F$12,Simulation!$E$33*Simulation!$F$8/12,PMT(Simulation!$F$8/12,Simulation!$F$10*12,-Simulation!$E$34)),IF(Simulation!$F$11="Amortissable différé total",IF(B66&lt;=Simulation!$F$12,0,PMT(Simulation!$F$8/12,Simulation!$F$10*12,-Simulation!$E$34)),IF(Simulation!$F$11="In fine",IF(B66=Simulation!$F$10*12,Simulation!$E$34,Simulation!$F$8*Simulation!$E$34/12),0)))),0)</f>
        <v>860.8610094454034</v>
      </c>
      <c r="H66" s="113">
        <f>Simulation!$C$16/12*(1+Simulation!$F$15)^INT((B66-1)/12)*(B66&lt;=Simulation!$F$24*12)</f>
        <v>1040.60401</v>
      </c>
      <c r="I66" s="114">
        <f>(Simulation!$F$22-VLOOKUP(Simulation!$C$27,'Comparatif fiscal'!$B$8:$E$17,4,FALSE)-C66)*(B66=Simulation!$F$24*12)</f>
        <v>0</v>
      </c>
      <c r="J66" s="114">
        <f>(Simulation!$C$21+Simulation!$C$22)/12*(1+Simulation!$F$17)^INT((B66-1)/12)*(B66&lt;=Simulation!$F$24*12)</f>
        <v>130.07550125</v>
      </c>
      <c r="K66" s="114">
        <f>(H66*Simulation!$C$24+Simulation!$C$23/12*(1+Simulation!$F$15)^INT((B66-1)/12))*(B66&lt;=Simulation!$F$24*12)</f>
        <v>107.52908103333334</v>
      </c>
      <c r="L66" s="114">
        <f>Simulation!$C$19/12*(1+Simulation!$F$18)^INT((B66-1)/12)*(B66&lt;=Simulation!$F$24*12)</f>
        <v>52.030200499999999</v>
      </c>
      <c r="M66" s="114">
        <f>(Simulation!$C$20/12*(1+Simulation!$F$19)^INT((B66-1)/12)+F66)*(B66&lt;=Simulation!$F$24*12)</f>
        <v>38.405033416666669</v>
      </c>
      <c r="N66" s="114">
        <f ca="1">SUMIF('Détail fiscalité'!$B$8:$B$37,INT(B66/12),'Détail fiscalité'!$CI$8:$CI$37)/12+SUMIF('Détail fiscalité'!$B$8:$B$37,B66/12,'Détail fiscalité'!$CI$8:$CI$37)-SUMIF('Détail fiscalité'!$B$8:$B$37,B66/12-1,'Détail fiscalité'!$CI$8:$CI$37)</f>
        <v>0</v>
      </c>
      <c r="O66" s="116">
        <f t="shared" ca="1" si="5"/>
        <v>-148.29681564540351</v>
      </c>
    </row>
    <row r="67" spans="2:18" x14ac:dyDescent="0.15">
      <c r="B67" s="40">
        <f t="shared" si="0"/>
        <v>60</v>
      </c>
      <c r="C67" s="113">
        <f>IF(B67&lt;=MIN(Simulation!$F$10*12+Simulation!$F$12*OR(Simulation!$F$11="Amortissable différé partiel",Simulation!$F$11="Amortissable différé total"),Simulation!$F$24*12),IF(AND(B67&lt;=Simulation!$F$12,OR(Simulation!$F$11="Amortissable différé partiel",Simulation!$F$11="Amortissable différé total")),C66*(1+(Simulation!$F$11="Amortissable différé total")*Simulation!$F$8/12),C66-D67),0)</f>
        <v>138682.35020898608</v>
      </c>
      <c r="D67" s="114">
        <f>IF(B67&lt;=MIN(Simulation!$F$10*12+Simulation!$F$12*OR(Simulation!$F$11="Amortissable différé partiel",Simulation!$F$11="Amortissable différé total"),Simulation!$F$24*12),G67-E67,0)</f>
        <v>686.64975948481481</v>
      </c>
      <c r="E67" s="114">
        <f>IF(B67&lt;=MIN(Simulation!$F$10*12+Simulation!$F$12*OR(Simulation!$F$11="Amortissable différé partiel",Simulation!$F$11="Amortissable différé total"),Simulation!$F$24*12),IF(AND(B67&lt;=Simulation!$F$12,Simulation!$F$11="Amortissable différé total"),0,C66*Simulation!$F$8/12),0)</f>
        <v>174.21124996058859</v>
      </c>
      <c r="F67" s="114">
        <f>IF(B67&lt;=MIN(Simulation!$F$10*12+Simulation!$F$12*OR(Simulation!$F$11="Amortissable différé partiel",Simulation!$F$11="Amortissable différé total"),Simulation!$F$24*12),Simulation!$E$33*Simulation!$F$9/12,0)</f>
        <v>29.733333333333334</v>
      </c>
      <c r="G67" s="115">
        <f>IF(B67&lt;=MIN(Simulation!$F$10*12+Simulation!$F$12*OR(Simulation!$F$11="Amortissable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partiel",IF(B67&lt;=Simulation!$F$12,Simulation!$E$33*Simulation!$F$8/12,PMT(Simulation!$F$8/12,Simulation!$F$10*12,-Simulation!$E$34)),IF(Simulation!$F$11="Amortissable différé total",IF(B67&lt;=Simulation!$F$12,0,PMT(Simulation!$F$8/12,Simulation!$F$10*12,-Simulation!$E$34)),IF(Simulation!$F$11="In fine",IF(B67=Simulation!$F$10*12,Simulation!$E$34,Simulation!$F$8*Simulation!$E$34/12),0)))),0)</f>
        <v>860.8610094454034</v>
      </c>
      <c r="H67" s="113">
        <f>Simulation!$C$16/12*(1+Simulation!$F$15)^INT((B67-1)/12)*(B67&lt;=Simulation!$F$24*12)</f>
        <v>1040.60401</v>
      </c>
      <c r="I67" s="114">
        <f>(Simulation!$F$22-VLOOKUP(Simulation!$C$27,'Comparatif fiscal'!$B$8:$E$17,4,FALSE)-C67)*(B67=Simulation!$F$24*12)</f>
        <v>0</v>
      </c>
      <c r="J67" s="114">
        <f>(Simulation!$C$21+Simulation!$C$22)/12*(1+Simulation!$F$17)^INT((B67-1)/12)*(B67&lt;=Simulation!$F$24*12)</f>
        <v>130.07550125</v>
      </c>
      <c r="K67" s="114">
        <f>(H67*Simulation!$C$24+Simulation!$C$23/12*(1+Simulation!$F$15)^INT((B67-1)/12))*(B67&lt;=Simulation!$F$24*12)</f>
        <v>107.52908103333334</v>
      </c>
      <c r="L67" s="114">
        <f>Simulation!$C$19/12*(1+Simulation!$F$18)^INT((B67-1)/12)*(B67&lt;=Simulation!$F$24*12)</f>
        <v>52.030200499999999</v>
      </c>
      <c r="M67" s="114">
        <f>(Simulation!$C$20/12*(1+Simulation!$F$19)^INT((B67-1)/12)+F67)*(B67&lt;=Simulation!$F$24*12)</f>
        <v>38.405033416666669</v>
      </c>
      <c r="N67" s="114">
        <f ca="1">SUMIF('Détail fiscalité'!$B$8:$B$37,INT(B67/12),'Détail fiscalité'!$CI$8:$CI$37)/12+SUMIF('Détail fiscalité'!$B$8:$B$37,B67/12,'Détail fiscalité'!$CI$8:$CI$37)-SUMIF('Détail fiscalité'!$B$8:$B$37,B67/12-1,'Détail fiscalité'!$CI$8:$CI$37)</f>
        <v>0</v>
      </c>
      <c r="O67" s="116">
        <f t="shared" ca="1" si="5"/>
        <v>-148.29681564540351</v>
      </c>
      <c r="Q67" s="42"/>
      <c r="R67" s="42"/>
    </row>
    <row r="68" spans="2:18" x14ac:dyDescent="0.15">
      <c r="B68" s="40">
        <f t="shared" si="0"/>
        <v>61</v>
      </c>
      <c r="C68" s="113">
        <f>IF(B68&lt;=MIN(Simulation!$F$10*12+Simulation!$F$12*OR(Simulation!$F$11="Amortissable différé partiel",Simulation!$F$11="Amortissable différé total"),Simulation!$F$24*12),IF(AND(B68&lt;=Simulation!$F$12,OR(Simulation!$F$11="Amortissable différé partiel",Simulation!$F$11="Amortissable différé total")),C67*(1+(Simulation!$F$11="Amortissable différé total")*Simulation!$F$8/12),C67-D68),0)</f>
        <v>137994.84213730192</v>
      </c>
      <c r="D68" s="114">
        <f>IF(B68&lt;=MIN(Simulation!$F$10*12+Simulation!$F$12*OR(Simulation!$F$11="Amortissable différé partiel",Simulation!$F$11="Amortissable différé total"),Simulation!$F$24*12),G68-E68,0)</f>
        <v>687.50807168417077</v>
      </c>
      <c r="E68" s="114">
        <f>IF(B68&lt;=MIN(Simulation!$F$10*12+Simulation!$F$12*OR(Simulation!$F$11="Amortissable différé partiel",Simulation!$F$11="Amortissable différé total"),Simulation!$F$24*12),IF(AND(B68&lt;=Simulation!$F$12,Simulation!$F$11="Amortissable différé total"),0,C67*Simulation!$F$8/12),0)</f>
        <v>173.3529377612326</v>
      </c>
      <c r="F68" s="114">
        <f>IF(B68&lt;=MIN(Simulation!$F$10*12+Simulation!$F$12*OR(Simulation!$F$11="Amortissable différé partiel",Simulation!$F$11="Amortissable différé total"),Simulation!$F$24*12),Simulation!$E$33*Simulation!$F$9/12,0)</f>
        <v>29.733333333333334</v>
      </c>
      <c r="G68" s="115">
        <f>IF(B68&lt;=MIN(Simulation!$F$10*12+Simulation!$F$12*OR(Simulation!$F$11="Amortissable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partiel",IF(B68&lt;=Simulation!$F$12,Simulation!$E$33*Simulation!$F$8/12,PMT(Simulation!$F$8/12,Simulation!$F$10*12,-Simulation!$E$34)),IF(Simulation!$F$11="Amortissable différé total",IF(B68&lt;=Simulation!$F$12,0,PMT(Simulation!$F$8/12,Simulation!$F$10*12,-Simulation!$E$34)),IF(Simulation!$F$11="In fine",IF(B68=Simulation!$F$10*12,Simulation!$E$34,Simulation!$F$8*Simulation!$E$34/12),0)))),0)</f>
        <v>860.8610094454034</v>
      </c>
      <c r="H68" s="113">
        <f>Simulation!$C$16/12*(1+Simulation!$F$15)^INT((B68-1)/12)*(B68&lt;=Simulation!$F$24*12)</f>
        <v>1051.0100500999999</v>
      </c>
      <c r="I68" s="114">
        <f>(Simulation!$F$22-VLOOKUP(Simulation!$C$27,'Comparatif fiscal'!$B$8:$E$17,4,FALSE)-C68)*(B68=Simulation!$F$24*12)</f>
        <v>0</v>
      </c>
      <c r="J68" s="114">
        <f>(Simulation!$C$21+Simulation!$C$22)/12*(1+Simulation!$F$17)^INT((B68-1)/12)*(B68&lt;=Simulation!$F$24*12)</f>
        <v>131.37625626249999</v>
      </c>
      <c r="K68" s="114">
        <f>(H68*Simulation!$C$24+Simulation!$C$23/12*(1+Simulation!$F$15)^INT((B68-1)/12))*(B68&lt;=Simulation!$F$24*12)</f>
        <v>108.60437184366667</v>
      </c>
      <c r="L68" s="114">
        <f>Simulation!$C$19/12*(1+Simulation!$F$18)^INT((B68-1)/12)*(B68&lt;=Simulation!$F$24*12)</f>
        <v>52.550502504999997</v>
      </c>
      <c r="M68" s="114">
        <f>(Simulation!$C$20/12*(1+Simulation!$F$19)^INT((B68-1)/12)+F68)*(B68&lt;=Simulation!$F$24*12)</f>
        <v>38.4917504175</v>
      </c>
      <c r="N68" s="114">
        <f ca="1">SUMIF('Détail fiscalité'!$B$8:$B$37,INT(B68/12),'Détail fiscalité'!$CI$8:$CI$37)/12+SUMIF('Détail fiscalité'!$B$8:$B$37,B68/12,'Détail fiscalité'!$CI$8:$CI$37)-SUMIF('Détail fiscalité'!$B$8:$B$37,B68/12-1,'Détail fiscalité'!$CI$8:$CI$37)</f>
        <v>0</v>
      </c>
      <c r="O68" s="116">
        <f t="shared" ca="1" si="5"/>
        <v>-140.87384037407014</v>
      </c>
    </row>
    <row r="69" spans="2:18" x14ac:dyDescent="0.15">
      <c r="B69" s="40">
        <f t="shared" si="0"/>
        <v>62</v>
      </c>
      <c r="C69" s="113">
        <f>IF(B69&lt;=MIN(Simulation!$F$10*12+Simulation!$F$12*OR(Simulation!$F$11="Amortissable différé partiel",Simulation!$F$11="Amortissable différé total"),Simulation!$F$24*12),IF(AND(B69&lt;=Simulation!$F$12,OR(Simulation!$F$11="Amortissable différé partiel",Simulation!$F$11="Amortissable différé total")),C68*(1+(Simulation!$F$11="Amortissable différé total")*Simulation!$F$8/12),C68-D69),0)</f>
        <v>137306.47468052816</v>
      </c>
      <c r="D69" s="114">
        <f>IF(B69&lt;=MIN(Simulation!$F$10*12+Simulation!$F$12*OR(Simulation!$F$11="Amortissable différé partiel",Simulation!$F$11="Amortissable différé total"),Simulation!$F$24*12),G69-E69,0)</f>
        <v>688.36745677377598</v>
      </c>
      <c r="E69" s="114">
        <f>IF(B69&lt;=MIN(Simulation!$F$10*12+Simulation!$F$12*OR(Simulation!$F$11="Amortissable différé partiel",Simulation!$F$11="Amortissable différé total"),Simulation!$F$24*12),IF(AND(B69&lt;=Simulation!$F$12,Simulation!$F$11="Amortissable différé total"),0,C68*Simulation!$F$8/12),0)</f>
        <v>172.49355267162741</v>
      </c>
      <c r="F69" s="114">
        <f>IF(B69&lt;=MIN(Simulation!$F$10*12+Simulation!$F$12*OR(Simulation!$F$11="Amortissable différé partiel",Simulation!$F$11="Amortissable différé total"),Simulation!$F$24*12),Simulation!$E$33*Simulation!$F$9/12,0)</f>
        <v>29.733333333333334</v>
      </c>
      <c r="G69" s="115">
        <f>IF(B69&lt;=MIN(Simulation!$F$10*12+Simulation!$F$12*OR(Simulation!$F$11="Amortissable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partiel",IF(B69&lt;=Simulation!$F$12,Simulation!$E$33*Simulation!$F$8/12,PMT(Simulation!$F$8/12,Simulation!$F$10*12,-Simulation!$E$34)),IF(Simulation!$F$11="Amortissable différé total",IF(B69&lt;=Simulation!$F$12,0,PMT(Simulation!$F$8/12,Simulation!$F$10*12,-Simulation!$E$34)),IF(Simulation!$F$11="In fine",IF(B69=Simulation!$F$10*12,Simulation!$E$34,Simulation!$F$8*Simulation!$E$34/12),0)))),0)</f>
        <v>860.8610094454034</v>
      </c>
      <c r="H69" s="113">
        <f>Simulation!$C$16/12*(1+Simulation!$F$15)^INT((B69-1)/12)*(B69&lt;=Simulation!$F$24*12)</f>
        <v>1051.0100500999999</v>
      </c>
      <c r="I69" s="114">
        <f>(Simulation!$F$22-VLOOKUP(Simulation!$C$27,'Comparatif fiscal'!$B$8:$E$17,4,FALSE)-C69)*(B69=Simulation!$F$24*12)</f>
        <v>0</v>
      </c>
      <c r="J69" s="114">
        <f>(Simulation!$C$21+Simulation!$C$22)/12*(1+Simulation!$F$17)^INT((B69-1)/12)*(B69&lt;=Simulation!$F$24*12)</f>
        <v>131.37625626249999</v>
      </c>
      <c r="K69" s="114">
        <f>(H69*Simulation!$C$24+Simulation!$C$23/12*(1+Simulation!$F$15)^INT((B69-1)/12))*(B69&lt;=Simulation!$F$24*12)</f>
        <v>108.60437184366667</v>
      </c>
      <c r="L69" s="114">
        <f>Simulation!$C$19/12*(1+Simulation!$F$18)^INT((B69-1)/12)*(B69&lt;=Simulation!$F$24*12)</f>
        <v>52.550502504999997</v>
      </c>
      <c r="M69" s="114">
        <f>(Simulation!$C$20/12*(1+Simulation!$F$19)^INT((B69-1)/12)+F69)*(B69&lt;=Simulation!$F$24*12)</f>
        <v>38.4917504175</v>
      </c>
      <c r="N69" s="114">
        <f ca="1">SUMIF('Détail fiscalité'!$B$8:$B$37,INT(B69/12),'Détail fiscalité'!$CI$8:$CI$37)/12+SUMIF('Détail fiscalité'!$B$8:$B$37,B69/12,'Détail fiscalité'!$CI$8:$CI$37)-SUMIF('Détail fiscalité'!$B$8:$B$37,B69/12-1,'Détail fiscalité'!$CI$8:$CI$37)</f>
        <v>0</v>
      </c>
      <c r="O69" s="116">
        <f t="shared" ca="1" si="5"/>
        <v>-140.87384037407014</v>
      </c>
    </row>
    <row r="70" spans="2:18" x14ac:dyDescent="0.15">
      <c r="B70" s="40">
        <f t="shared" si="0"/>
        <v>63</v>
      </c>
      <c r="C70" s="113">
        <f>IF(B70&lt;=MIN(Simulation!$F$10*12+Simulation!$F$12*OR(Simulation!$F$11="Amortissable différé partiel",Simulation!$F$11="Amortissable différé total"),Simulation!$F$24*12),IF(AND(B70&lt;=Simulation!$F$12,OR(Simulation!$F$11="Amortissable différé partiel",Simulation!$F$11="Amortissable différé total")),C69*(1+(Simulation!$F$11="Amortissable différé total")*Simulation!$F$8/12),C69-D70),0)</f>
        <v>136617.24676443342</v>
      </c>
      <c r="D70" s="114">
        <f>IF(B70&lt;=MIN(Simulation!$F$10*12+Simulation!$F$12*OR(Simulation!$F$11="Amortissable différé partiel",Simulation!$F$11="Amortissable différé total"),Simulation!$F$24*12),G70-E70,0)</f>
        <v>689.22791609474325</v>
      </c>
      <c r="E70" s="114">
        <f>IF(B70&lt;=MIN(Simulation!$F$10*12+Simulation!$F$12*OR(Simulation!$F$11="Amortissable différé partiel",Simulation!$F$11="Amortissable différé total"),Simulation!$F$24*12),IF(AND(B70&lt;=Simulation!$F$12,Simulation!$F$11="Amortissable différé total"),0,C69*Simulation!$F$8/12),0)</f>
        <v>171.63309335066018</v>
      </c>
      <c r="F70" s="114">
        <f>IF(B70&lt;=MIN(Simulation!$F$10*12+Simulation!$F$12*OR(Simulation!$F$11="Amortissable différé partiel",Simulation!$F$11="Amortissable différé total"),Simulation!$F$24*12),Simulation!$E$33*Simulation!$F$9/12,0)</f>
        <v>29.733333333333334</v>
      </c>
      <c r="G70" s="115">
        <f>IF(B70&lt;=MIN(Simulation!$F$10*12+Simulation!$F$12*OR(Simulation!$F$11="Amortissable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partiel",IF(B70&lt;=Simulation!$F$12,Simulation!$E$33*Simulation!$F$8/12,PMT(Simulation!$F$8/12,Simulation!$F$10*12,-Simulation!$E$34)),IF(Simulation!$F$11="Amortissable différé total",IF(B70&lt;=Simulation!$F$12,0,PMT(Simulation!$F$8/12,Simulation!$F$10*12,-Simulation!$E$34)),IF(Simulation!$F$11="In fine",IF(B70=Simulation!$F$10*12,Simulation!$E$34,Simulation!$F$8*Simulation!$E$34/12),0)))),0)</f>
        <v>860.8610094454034</v>
      </c>
      <c r="H70" s="113">
        <f>Simulation!$C$16/12*(1+Simulation!$F$15)^INT((B70-1)/12)*(B70&lt;=Simulation!$F$24*12)</f>
        <v>1051.0100500999999</v>
      </c>
      <c r="I70" s="114">
        <f>(Simulation!$F$22-VLOOKUP(Simulation!$C$27,'Comparatif fiscal'!$B$8:$E$17,4,FALSE)-C70)*(B70=Simulation!$F$24*12)</f>
        <v>0</v>
      </c>
      <c r="J70" s="114">
        <f>(Simulation!$C$21+Simulation!$C$22)/12*(1+Simulation!$F$17)^INT((B70-1)/12)*(B70&lt;=Simulation!$F$24*12)</f>
        <v>131.37625626249999</v>
      </c>
      <c r="K70" s="114">
        <f>(H70*Simulation!$C$24+Simulation!$C$23/12*(1+Simulation!$F$15)^INT((B70-1)/12))*(B70&lt;=Simulation!$F$24*12)</f>
        <v>108.60437184366667</v>
      </c>
      <c r="L70" s="114">
        <f>Simulation!$C$19/12*(1+Simulation!$F$18)^INT((B70-1)/12)*(B70&lt;=Simulation!$F$24*12)</f>
        <v>52.550502504999997</v>
      </c>
      <c r="M70" s="114">
        <f>(Simulation!$C$20/12*(1+Simulation!$F$19)^INT((B70-1)/12)+F70)*(B70&lt;=Simulation!$F$24*12)</f>
        <v>38.4917504175</v>
      </c>
      <c r="N70" s="114">
        <f ca="1">SUMIF('Détail fiscalité'!$B$8:$B$37,INT(B70/12),'Détail fiscalité'!$CI$8:$CI$37)/12+SUMIF('Détail fiscalité'!$B$8:$B$37,B70/12,'Détail fiscalité'!$CI$8:$CI$37)-SUMIF('Détail fiscalité'!$B$8:$B$37,B70/12-1,'Détail fiscalité'!$CI$8:$CI$37)</f>
        <v>0</v>
      </c>
      <c r="O70" s="116">
        <f t="shared" ca="1" si="5"/>
        <v>-140.87384037407014</v>
      </c>
    </row>
    <row r="71" spans="2:18" x14ac:dyDescent="0.15">
      <c r="B71" s="40">
        <f t="shared" si="0"/>
        <v>64</v>
      </c>
      <c r="C71" s="113">
        <f>IF(B71&lt;=MIN(Simulation!$F$10*12+Simulation!$F$12*OR(Simulation!$F$11="Amortissable différé partiel",Simulation!$F$11="Amortissable différé total"),Simulation!$F$24*12),IF(AND(B71&lt;=Simulation!$F$12,OR(Simulation!$F$11="Amortissable différé partiel",Simulation!$F$11="Amortissable différé total")),C70*(1+(Simulation!$F$11="Amortissable différé total")*Simulation!$F$8/12),C70-D71),0)</f>
        <v>135927.15731344357</v>
      </c>
      <c r="D71" s="114">
        <f>IF(B71&lt;=MIN(Simulation!$F$10*12+Simulation!$F$12*OR(Simulation!$F$11="Amortissable différé partiel",Simulation!$F$11="Amortissable différé total"),Simulation!$F$24*12),G71-E71,0)</f>
        <v>690.08945098986158</v>
      </c>
      <c r="E71" s="114">
        <f>IF(B71&lt;=MIN(Simulation!$F$10*12+Simulation!$F$12*OR(Simulation!$F$11="Amortissable différé partiel",Simulation!$F$11="Amortissable différé total"),Simulation!$F$24*12),IF(AND(B71&lt;=Simulation!$F$12,Simulation!$F$11="Amortissable différé total"),0,C70*Simulation!$F$8/12),0)</f>
        <v>170.77155845554179</v>
      </c>
      <c r="F71" s="114">
        <f>IF(B71&lt;=MIN(Simulation!$F$10*12+Simulation!$F$12*OR(Simulation!$F$11="Amortissable différé partiel",Simulation!$F$11="Amortissable différé total"),Simulation!$F$24*12),Simulation!$E$33*Simulation!$F$9/12,0)</f>
        <v>29.733333333333334</v>
      </c>
      <c r="G71" s="115">
        <f>IF(B71&lt;=MIN(Simulation!$F$10*12+Simulation!$F$12*OR(Simulation!$F$11="Amortissable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partiel",IF(B71&lt;=Simulation!$F$12,Simulation!$E$33*Simulation!$F$8/12,PMT(Simulation!$F$8/12,Simulation!$F$10*12,-Simulation!$E$34)),IF(Simulation!$F$11="Amortissable différé total",IF(B71&lt;=Simulation!$F$12,0,PMT(Simulation!$F$8/12,Simulation!$F$10*12,-Simulation!$E$34)),IF(Simulation!$F$11="In fine",IF(B71=Simulation!$F$10*12,Simulation!$E$34,Simulation!$F$8*Simulation!$E$34/12),0)))),0)</f>
        <v>860.8610094454034</v>
      </c>
      <c r="H71" s="113">
        <f>Simulation!$C$16/12*(1+Simulation!$F$15)^INT((B71-1)/12)*(B71&lt;=Simulation!$F$24*12)</f>
        <v>1051.0100500999999</v>
      </c>
      <c r="I71" s="114">
        <f>(Simulation!$F$22-VLOOKUP(Simulation!$C$27,'Comparatif fiscal'!$B$8:$E$17,4,FALSE)-C71)*(B71=Simulation!$F$24*12)</f>
        <v>0</v>
      </c>
      <c r="J71" s="114">
        <f>(Simulation!$C$21+Simulation!$C$22)/12*(1+Simulation!$F$17)^INT((B71-1)/12)*(B71&lt;=Simulation!$F$24*12)</f>
        <v>131.37625626249999</v>
      </c>
      <c r="K71" s="114">
        <f>(H71*Simulation!$C$24+Simulation!$C$23/12*(1+Simulation!$F$15)^INT((B71-1)/12))*(B71&lt;=Simulation!$F$24*12)</f>
        <v>108.60437184366667</v>
      </c>
      <c r="L71" s="114">
        <f>Simulation!$C$19/12*(1+Simulation!$F$18)^INT((B71-1)/12)*(B71&lt;=Simulation!$F$24*12)</f>
        <v>52.550502504999997</v>
      </c>
      <c r="M71" s="114">
        <f>(Simulation!$C$20/12*(1+Simulation!$F$19)^INT((B71-1)/12)+F71)*(B71&lt;=Simulation!$F$24*12)</f>
        <v>38.4917504175</v>
      </c>
      <c r="N71" s="114">
        <f ca="1">SUMIF('Détail fiscalité'!$B$8:$B$37,INT(B71/12),'Détail fiscalité'!$CI$8:$CI$37)/12+SUMIF('Détail fiscalité'!$B$8:$B$37,B71/12,'Détail fiscalité'!$CI$8:$CI$37)-SUMIF('Détail fiscalité'!$B$8:$B$37,B71/12-1,'Détail fiscalité'!$CI$8:$CI$37)</f>
        <v>0</v>
      </c>
      <c r="O71" s="116">
        <f t="shared" ca="1" si="5"/>
        <v>-140.87384037407014</v>
      </c>
    </row>
    <row r="72" spans="2:18" x14ac:dyDescent="0.15">
      <c r="B72" s="40">
        <f t="shared" ref="B72:B135" si="17">B71+1</f>
        <v>65</v>
      </c>
      <c r="C72" s="113">
        <f>IF(B72&lt;=MIN(Simulation!$F$10*12+Simulation!$F$12*OR(Simulation!$F$11="Amortissable différé partiel",Simulation!$F$11="Amortissable différé total"),Simulation!$F$24*12),IF(AND(B72&lt;=Simulation!$F$12,OR(Simulation!$F$11="Amortissable différé partiel",Simulation!$F$11="Amortissable différé total")),C71*(1+(Simulation!$F$11="Amortissable différé total")*Simulation!$F$8/12),C71-D72),0)</f>
        <v>135236.20525063996</v>
      </c>
      <c r="D72" s="114">
        <f>IF(B72&lt;=MIN(Simulation!$F$10*12+Simulation!$F$12*OR(Simulation!$F$11="Amortissable différé partiel",Simulation!$F$11="Amortissable différé total"),Simulation!$F$24*12),G72-E72,0)</f>
        <v>690.95206280359889</v>
      </c>
      <c r="E72" s="114">
        <f>IF(B72&lt;=MIN(Simulation!$F$10*12+Simulation!$F$12*OR(Simulation!$F$11="Amortissable différé partiel",Simulation!$F$11="Amortissable différé total"),Simulation!$F$24*12),IF(AND(B72&lt;=Simulation!$F$12,Simulation!$F$11="Amortissable différé total"),0,C71*Simulation!$F$8/12),0)</f>
        <v>169.90894664180448</v>
      </c>
      <c r="F72" s="114">
        <f>IF(B72&lt;=MIN(Simulation!$F$10*12+Simulation!$F$12*OR(Simulation!$F$11="Amortissable différé partiel",Simulation!$F$11="Amortissable différé total"),Simulation!$F$24*12),Simulation!$E$33*Simulation!$F$9/12,0)</f>
        <v>29.733333333333334</v>
      </c>
      <c r="G72" s="115">
        <f>IF(B72&lt;=MIN(Simulation!$F$10*12+Simulation!$F$12*OR(Simulation!$F$11="Amortissable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partiel",IF(B72&lt;=Simulation!$F$12,Simulation!$E$33*Simulation!$F$8/12,PMT(Simulation!$F$8/12,Simulation!$F$10*12,-Simulation!$E$34)),IF(Simulation!$F$11="Amortissable différé total",IF(B72&lt;=Simulation!$F$12,0,PMT(Simulation!$F$8/12,Simulation!$F$10*12,-Simulation!$E$34)),IF(Simulation!$F$11="In fine",IF(B72=Simulation!$F$10*12,Simulation!$E$34,Simulation!$F$8*Simulation!$E$34/12),0)))),0)</f>
        <v>860.8610094454034</v>
      </c>
      <c r="H72" s="113">
        <f>Simulation!$C$16/12*(1+Simulation!$F$15)^INT((B72-1)/12)*(B72&lt;=Simulation!$F$24*12)</f>
        <v>1051.0100500999999</v>
      </c>
      <c r="I72" s="114">
        <f>(Simulation!$F$22-VLOOKUP(Simulation!$C$27,'Comparatif fiscal'!$B$8:$E$17,4,FALSE)-C72)*(B72=Simulation!$F$24*12)</f>
        <v>0</v>
      </c>
      <c r="J72" s="114">
        <f>(Simulation!$C$21+Simulation!$C$22)/12*(1+Simulation!$F$17)^INT((B72-1)/12)*(B72&lt;=Simulation!$F$24*12)</f>
        <v>131.37625626249999</v>
      </c>
      <c r="K72" s="114">
        <f>(H72*Simulation!$C$24+Simulation!$C$23/12*(1+Simulation!$F$15)^INT((B72-1)/12))*(B72&lt;=Simulation!$F$24*12)</f>
        <v>108.60437184366667</v>
      </c>
      <c r="L72" s="114">
        <f>Simulation!$C$19/12*(1+Simulation!$F$18)^INT((B72-1)/12)*(B72&lt;=Simulation!$F$24*12)</f>
        <v>52.550502504999997</v>
      </c>
      <c r="M72" s="114">
        <f>(Simulation!$C$20/12*(1+Simulation!$F$19)^INT((B72-1)/12)+F72)*(B72&lt;=Simulation!$F$24*12)</f>
        <v>38.4917504175</v>
      </c>
      <c r="N72" s="114">
        <f ca="1">SUMIF('Détail fiscalité'!$B$8:$B$37,INT(B72/12),'Détail fiscalité'!$CI$8:$CI$37)/12+SUMIF('Détail fiscalité'!$B$8:$B$37,B72/12,'Détail fiscalité'!$CI$8:$CI$37)-SUMIF('Détail fiscalité'!$B$8:$B$37,B72/12-1,'Détail fiscalité'!$CI$8:$CI$37)</f>
        <v>0</v>
      </c>
      <c r="O72" s="116">
        <f t="shared" ca="1" si="5"/>
        <v>-140.87384037407014</v>
      </c>
    </row>
    <row r="73" spans="2:18" x14ac:dyDescent="0.15">
      <c r="B73" s="40">
        <f t="shared" si="17"/>
        <v>66</v>
      </c>
      <c r="C73" s="113">
        <f>IF(B73&lt;=MIN(Simulation!$F$10*12+Simulation!$F$12*OR(Simulation!$F$11="Amortissable différé partiel",Simulation!$F$11="Amortissable différé total"),Simulation!$F$24*12),IF(AND(B73&lt;=Simulation!$F$12,OR(Simulation!$F$11="Amortissable différé partiel",Simulation!$F$11="Amortissable différé total")),C72*(1+(Simulation!$F$11="Amortissable différé total")*Simulation!$F$8/12),C72-D73),0)</f>
        <v>134544.38949775786</v>
      </c>
      <c r="D73" s="114">
        <f>IF(B73&lt;=MIN(Simulation!$F$10*12+Simulation!$F$12*OR(Simulation!$F$11="Amortissable différé partiel",Simulation!$F$11="Amortissable différé total"),Simulation!$F$24*12),G73-E73,0)</f>
        <v>691.81575288210342</v>
      </c>
      <c r="E73" s="114">
        <f>IF(B73&lt;=MIN(Simulation!$F$10*12+Simulation!$F$12*OR(Simulation!$F$11="Amortissable différé partiel",Simulation!$F$11="Amortissable différé total"),Simulation!$F$24*12),IF(AND(B73&lt;=Simulation!$F$12,Simulation!$F$11="Amortissable différé total"),0,C72*Simulation!$F$8/12),0)</f>
        <v>169.04525656329994</v>
      </c>
      <c r="F73" s="114">
        <f>IF(B73&lt;=MIN(Simulation!$F$10*12+Simulation!$F$12*OR(Simulation!$F$11="Amortissable différé partiel",Simulation!$F$11="Amortissable différé total"),Simulation!$F$24*12),Simulation!$E$33*Simulation!$F$9/12,0)</f>
        <v>29.733333333333334</v>
      </c>
      <c r="G73" s="115">
        <f>IF(B73&lt;=MIN(Simulation!$F$10*12+Simulation!$F$12*OR(Simulation!$F$11="Amortissable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partiel",IF(B73&lt;=Simulation!$F$12,Simulation!$E$33*Simulation!$F$8/12,PMT(Simulation!$F$8/12,Simulation!$F$10*12,-Simulation!$E$34)),IF(Simulation!$F$11="Amortissable différé total",IF(B73&lt;=Simulation!$F$12,0,PMT(Simulation!$F$8/12,Simulation!$F$10*12,-Simulation!$E$34)),IF(Simulation!$F$11="In fine",IF(B73=Simulation!$F$10*12,Simulation!$E$34,Simulation!$F$8*Simulation!$E$34/12),0)))),0)</f>
        <v>860.8610094454034</v>
      </c>
      <c r="H73" s="113">
        <f>Simulation!$C$16/12*(1+Simulation!$F$15)^INT((B73-1)/12)*(B73&lt;=Simulation!$F$24*12)</f>
        <v>1051.0100500999999</v>
      </c>
      <c r="I73" s="114">
        <f>(Simulation!$F$22-VLOOKUP(Simulation!$C$27,'Comparatif fiscal'!$B$8:$E$17,4,FALSE)-C73)*(B73=Simulation!$F$24*12)</f>
        <v>0</v>
      </c>
      <c r="J73" s="114">
        <f>(Simulation!$C$21+Simulation!$C$22)/12*(1+Simulation!$F$17)^INT((B73-1)/12)*(B73&lt;=Simulation!$F$24*12)</f>
        <v>131.37625626249999</v>
      </c>
      <c r="K73" s="114">
        <f>(H73*Simulation!$C$24+Simulation!$C$23/12*(1+Simulation!$F$15)^INT((B73-1)/12))*(B73&lt;=Simulation!$F$24*12)</f>
        <v>108.60437184366667</v>
      </c>
      <c r="L73" s="114">
        <f>Simulation!$C$19/12*(1+Simulation!$F$18)^INT((B73-1)/12)*(B73&lt;=Simulation!$F$24*12)</f>
        <v>52.550502504999997</v>
      </c>
      <c r="M73" s="114">
        <f>(Simulation!$C$20/12*(1+Simulation!$F$19)^INT((B73-1)/12)+F73)*(B73&lt;=Simulation!$F$24*12)</f>
        <v>38.4917504175</v>
      </c>
      <c r="N73" s="114">
        <f ca="1">SUMIF('Détail fiscalité'!$B$8:$B$37,INT(B73/12),'Détail fiscalité'!$CI$8:$CI$37)/12+SUMIF('Détail fiscalité'!$B$8:$B$37,B73/12,'Détail fiscalité'!$CI$8:$CI$37)-SUMIF('Détail fiscalité'!$B$8:$B$37,B73/12-1,'Détail fiscalité'!$CI$8:$CI$37)</f>
        <v>0</v>
      </c>
      <c r="O73" s="116">
        <f t="shared" ref="O73:O136" ca="1" si="18">SUM(H73:I73)-SUM(G73,J73:N73)</f>
        <v>-140.87384037407014</v>
      </c>
    </row>
    <row r="74" spans="2:18" x14ac:dyDescent="0.15">
      <c r="B74" s="40">
        <f t="shared" si="17"/>
        <v>67</v>
      </c>
      <c r="C74" s="113">
        <f>IF(B74&lt;=MIN(Simulation!$F$10*12+Simulation!$F$12*OR(Simulation!$F$11="Amortissable différé partiel",Simulation!$F$11="Amortissable différé total"),Simulation!$F$24*12),IF(AND(B74&lt;=Simulation!$F$12,OR(Simulation!$F$11="Amortissable différé partiel",Simulation!$F$11="Amortissable différé total")),C73*(1+(Simulation!$F$11="Amortissable différé total")*Simulation!$F$8/12),C73-D74),0)</f>
        <v>133851.70897518465</v>
      </c>
      <c r="D74" s="114">
        <f>IF(B74&lt;=MIN(Simulation!$F$10*12+Simulation!$F$12*OR(Simulation!$F$11="Amortissable différé partiel",Simulation!$F$11="Amortissable différé total"),Simulation!$F$24*12),G74-E74,0)</f>
        <v>692.68052257320608</v>
      </c>
      <c r="E74" s="114">
        <f>IF(B74&lt;=MIN(Simulation!$F$10*12+Simulation!$F$12*OR(Simulation!$F$11="Amortissable différé partiel",Simulation!$F$11="Amortissable différé total"),Simulation!$F$24*12),IF(AND(B74&lt;=Simulation!$F$12,Simulation!$F$11="Amortissable différé total"),0,C73*Simulation!$F$8/12),0)</f>
        <v>168.18048687219732</v>
      </c>
      <c r="F74" s="114">
        <f>IF(B74&lt;=MIN(Simulation!$F$10*12+Simulation!$F$12*OR(Simulation!$F$11="Amortissable différé partiel",Simulation!$F$11="Amortissable différé total"),Simulation!$F$24*12),Simulation!$E$33*Simulation!$F$9/12,0)</f>
        <v>29.733333333333334</v>
      </c>
      <c r="G74" s="115">
        <f>IF(B74&lt;=MIN(Simulation!$F$10*12+Simulation!$F$12*OR(Simulation!$F$11="Amortissable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partiel",IF(B74&lt;=Simulation!$F$12,Simulation!$E$33*Simulation!$F$8/12,PMT(Simulation!$F$8/12,Simulation!$F$10*12,-Simulation!$E$34)),IF(Simulation!$F$11="Amortissable différé total",IF(B74&lt;=Simulation!$F$12,0,PMT(Simulation!$F$8/12,Simulation!$F$10*12,-Simulation!$E$34)),IF(Simulation!$F$11="In fine",IF(B74=Simulation!$F$10*12,Simulation!$E$34,Simulation!$F$8*Simulation!$E$34/12),0)))),0)</f>
        <v>860.8610094454034</v>
      </c>
      <c r="H74" s="113">
        <f>Simulation!$C$16/12*(1+Simulation!$F$15)^INT((B74-1)/12)*(B74&lt;=Simulation!$F$24*12)</f>
        <v>1051.0100500999999</v>
      </c>
      <c r="I74" s="114">
        <f>(Simulation!$F$22-VLOOKUP(Simulation!$C$27,'Comparatif fiscal'!$B$8:$E$17,4,FALSE)-C74)*(B74=Simulation!$F$24*12)</f>
        <v>0</v>
      </c>
      <c r="J74" s="114">
        <f>(Simulation!$C$21+Simulation!$C$22)/12*(1+Simulation!$F$17)^INT((B74-1)/12)*(B74&lt;=Simulation!$F$24*12)</f>
        <v>131.37625626249999</v>
      </c>
      <c r="K74" s="114">
        <f>(H74*Simulation!$C$24+Simulation!$C$23/12*(1+Simulation!$F$15)^INT((B74-1)/12))*(B74&lt;=Simulation!$F$24*12)</f>
        <v>108.60437184366667</v>
      </c>
      <c r="L74" s="114">
        <f>Simulation!$C$19/12*(1+Simulation!$F$18)^INT((B74-1)/12)*(B74&lt;=Simulation!$F$24*12)</f>
        <v>52.550502504999997</v>
      </c>
      <c r="M74" s="114">
        <f>(Simulation!$C$20/12*(1+Simulation!$F$19)^INT((B74-1)/12)+F74)*(B74&lt;=Simulation!$F$24*12)</f>
        <v>38.4917504175</v>
      </c>
      <c r="N74" s="114">
        <f ca="1">SUMIF('Détail fiscalité'!$B$8:$B$37,INT(B74/12),'Détail fiscalité'!$CI$8:$CI$37)/12+SUMIF('Détail fiscalité'!$B$8:$B$37,B74/12,'Détail fiscalité'!$CI$8:$CI$37)-SUMIF('Détail fiscalité'!$B$8:$B$37,B74/12-1,'Détail fiscalité'!$CI$8:$CI$37)</f>
        <v>0</v>
      </c>
      <c r="O74" s="116">
        <f t="shared" ca="1" si="18"/>
        <v>-140.87384037407014</v>
      </c>
    </row>
    <row r="75" spans="2:18" x14ac:dyDescent="0.15">
      <c r="B75" s="40">
        <f t="shared" si="17"/>
        <v>68</v>
      </c>
      <c r="C75" s="113">
        <f>IF(B75&lt;=MIN(Simulation!$F$10*12+Simulation!$F$12*OR(Simulation!$F$11="Amortissable différé partiel",Simulation!$F$11="Amortissable différé total"),Simulation!$F$24*12),IF(AND(B75&lt;=Simulation!$F$12,OR(Simulation!$F$11="Amortissable différé partiel",Simulation!$F$11="Amortissable différé total")),C74*(1+(Simulation!$F$11="Amortissable différé total")*Simulation!$F$8/12),C74-D75),0)</f>
        <v>133158.16260195823</v>
      </c>
      <c r="D75" s="114">
        <f>IF(B75&lt;=MIN(Simulation!$F$10*12+Simulation!$F$12*OR(Simulation!$F$11="Amortissable différé partiel",Simulation!$F$11="Amortissable différé total"),Simulation!$F$24*12),G75-E75,0)</f>
        <v>693.54637322642259</v>
      </c>
      <c r="E75" s="114">
        <f>IF(B75&lt;=MIN(Simulation!$F$10*12+Simulation!$F$12*OR(Simulation!$F$11="Amortissable différé partiel",Simulation!$F$11="Amortissable différé total"),Simulation!$F$24*12),IF(AND(B75&lt;=Simulation!$F$12,Simulation!$F$11="Amortissable différé total"),0,C74*Simulation!$F$8/12),0)</f>
        <v>167.31463621898081</v>
      </c>
      <c r="F75" s="114">
        <f>IF(B75&lt;=MIN(Simulation!$F$10*12+Simulation!$F$12*OR(Simulation!$F$11="Amortissable différé partiel",Simulation!$F$11="Amortissable différé total"),Simulation!$F$24*12),Simulation!$E$33*Simulation!$F$9/12,0)</f>
        <v>29.733333333333334</v>
      </c>
      <c r="G75" s="115">
        <f>IF(B75&lt;=MIN(Simulation!$F$10*12+Simulation!$F$12*OR(Simulation!$F$11="Amortissable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partiel",IF(B75&lt;=Simulation!$F$12,Simulation!$E$33*Simulation!$F$8/12,PMT(Simulation!$F$8/12,Simulation!$F$10*12,-Simulation!$E$34)),IF(Simulation!$F$11="Amortissable différé total",IF(B75&lt;=Simulation!$F$12,0,PMT(Simulation!$F$8/12,Simulation!$F$10*12,-Simulation!$E$34)),IF(Simulation!$F$11="In fine",IF(B75=Simulation!$F$10*12,Simulation!$E$34,Simulation!$F$8*Simulation!$E$34/12),0)))),0)</f>
        <v>860.8610094454034</v>
      </c>
      <c r="H75" s="113">
        <f>Simulation!$C$16/12*(1+Simulation!$F$15)^INT((B75-1)/12)*(B75&lt;=Simulation!$F$24*12)</f>
        <v>1051.0100500999999</v>
      </c>
      <c r="I75" s="114">
        <f>(Simulation!$F$22-VLOOKUP(Simulation!$C$27,'Comparatif fiscal'!$B$8:$E$17,4,FALSE)-C75)*(B75=Simulation!$F$24*12)</f>
        <v>0</v>
      </c>
      <c r="J75" s="114">
        <f>(Simulation!$C$21+Simulation!$C$22)/12*(1+Simulation!$F$17)^INT((B75-1)/12)*(B75&lt;=Simulation!$F$24*12)</f>
        <v>131.37625626249999</v>
      </c>
      <c r="K75" s="114">
        <f>(H75*Simulation!$C$24+Simulation!$C$23/12*(1+Simulation!$F$15)^INT((B75-1)/12))*(B75&lt;=Simulation!$F$24*12)</f>
        <v>108.60437184366667</v>
      </c>
      <c r="L75" s="114">
        <f>Simulation!$C$19/12*(1+Simulation!$F$18)^INT((B75-1)/12)*(B75&lt;=Simulation!$F$24*12)</f>
        <v>52.550502504999997</v>
      </c>
      <c r="M75" s="114">
        <f>(Simulation!$C$20/12*(1+Simulation!$F$19)^INT((B75-1)/12)+F75)*(B75&lt;=Simulation!$F$24*12)</f>
        <v>38.4917504175</v>
      </c>
      <c r="N75" s="114">
        <f ca="1">SUMIF('Détail fiscalité'!$B$8:$B$37,INT(B75/12),'Détail fiscalité'!$CI$8:$CI$37)/12+SUMIF('Détail fiscalité'!$B$8:$B$37,B75/12,'Détail fiscalité'!$CI$8:$CI$37)-SUMIF('Détail fiscalité'!$B$8:$B$37,B75/12-1,'Détail fiscalité'!$CI$8:$CI$37)</f>
        <v>0</v>
      </c>
      <c r="O75" s="116">
        <f t="shared" ca="1" si="18"/>
        <v>-140.87384037407014</v>
      </c>
    </row>
    <row r="76" spans="2:18" x14ac:dyDescent="0.15">
      <c r="B76" s="40">
        <f t="shared" si="17"/>
        <v>69</v>
      </c>
      <c r="C76" s="113">
        <f>IF(B76&lt;=MIN(Simulation!$F$10*12+Simulation!$F$12*OR(Simulation!$F$11="Amortissable différé partiel",Simulation!$F$11="Amortissable différé total"),Simulation!$F$24*12),IF(AND(B76&lt;=Simulation!$F$12,OR(Simulation!$F$11="Amortissable différé partiel",Simulation!$F$11="Amortissable différé total")),C75*(1+(Simulation!$F$11="Amortissable différé total")*Simulation!$F$8/12),C75-D76),0)</f>
        <v>132463.74929576527</v>
      </c>
      <c r="D76" s="114">
        <f>IF(B76&lt;=MIN(Simulation!$F$10*12+Simulation!$F$12*OR(Simulation!$F$11="Amortissable différé partiel",Simulation!$F$11="Amortissable différé total"),Simulation!$F$24*12),G76-E76,0)</f>
        <v>694.41330619295559</v>
      </c>
      <c r="E76" s="114">
        <f>IF(B76&lt;=MIN(Simulation!$F$10*12+Simulation!$F$12*OR(Simulation!$F$11="Amortissable différé partiel",Simulation!$F$11="Amortissable différé total"),Simulation!$F$24*12),IF(AND(B76&lt;=Simulation!$F$12,Simulation!$F$11="Amortissable différé total"),0,C75*Simulation!$F$8/12),0)</f>
        <v>166.44770325244778</v>
      </c>
      <c r="F76" s="114">
        <f>IF(B76&lt;=MIN(Simulation!$F$10*12+Simulation!$F$12*OR(Simulation!$F$11="Amortissable différé partiel",Simulation!$F$11="Amortissable différé total"),Simulation!$F$24*12),Simulation!$E$33*Simulation!$F$9/12,0)</f>
        <v>29.733333333333334</v>
      </c>
      <c r="G76" s="115">
        <f>IF(B76&lt;=MIN(Simulation!$F$10*12+Simulation!$F$12*OR(Simulation!$F$11="Amortissable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partiel",IF(B76&lt;=Simulation!$F$12,Simulation!$E$33*Simulation!$F$8/12,PMT(Simulation!$F$8/12,Simulation!$F$10*12,-Simulation!$E$34)),IF(Simulation!$F$11="Amortissable différé total",IF(B76&lt;=Simulation!$F$12,0,PMT(Simulation!$F$8/12,Simulation!$F$10*12,-Simulation!$E$34)),IF(Simulation!$F$11="In fine",IF(B76=Simulation!$F$10*12,Simulation!$E$34,Simulation!$F$8*Simulation!$E$34/12),0)))),0)</f>
        <v>860.8610094454034</v>
      </c>
      <c r="H76" s="113">
        <f>Simulation!$C$16/12*(1+Simulation!$F$15)^INT((B76-1)/12)*(B76&lt;=Simulation!$F$24*12)</f>
        <v>1051.0100500999999</v>
      </c>
      <c r="I76" s="114">
        <f>(Simulation!$F$22-VLOOKUP(Simulation!$C$27,'Comparatif fiscal'!$B$8:$E$17,4,FALSE)-C76)*(B76=Simulation!$F$24*12)</f>
        <v>0</v>
      </c>
      <c r="J76" s="114">
        <f>(Simulation!$C$21+Simulation!$C$22)/12*(1+Simulation!$F$17)^INT((B76-1)/12)*(B76&lt;=Simulation!$F$24*12)</f>
        <v>131.37625626249999</v>
      </c>
      <c r="K76" s="114">
        <f>(H76*Simulation!$C$24+Simulation!$C$23/12*(1+Simulation!$F$15)^INT((B76-1)/12))*(B76&lt;=Simulation!$F$24*12)</f>
        <v>108.60437184366667</v>
      </c>
      <c r="L76" s="114">
        <f>Simulation!$C$19/12*(1+Simulation!$F$18)^INT((B76-1)/12)*(B76&lt;=Simulation!$F$24*12)</f>
        <v>52.550502504999997</v>
      </c>
      <c r="M76" s="114">
        <f>(Simulation!$C$20/12*(1+Simulation!$F$19)^INT((B76-1)/12)+F76)*(B76&lt;=Simulation!$F$24*12)</f>
        <v>38.4917504175</v>
      </c>
      <c r="N76" s="114">
        <f ca="1">SUMIF('Détail fiscalité'!$B$8:$B$37,INT(B76/12),'Détail fiscalité'!$CI$8:$CI$37)/12+SUMIF('Détail fiscalité'!$B$8:$B$37,B76/12,'Détail fiscalité'!$CI$8:$CI$37)-SUMIF('Détail fiscalité'!$B$8:$B$37,B76/12-1,'Détail fiscalité'!$CI$8:$CI$37)</f>
        <v>0</v>
      </c>
      <c r="O76" s="116">
        <f t="shared" ca="1" si="18"/>
        <v>-140.87384037407014</v>
      </c>
    </row>
    <row r="77" spans="2:18" x14ac:dyDescent="0.15">
      <c r="B77" s="40">
        <f t="shared" si="17"/>
        <v>70</v>
      </c>
      <c r="C77" s="113">
        <f>IF(B77&lt;=MIN(Simulation!$F$10*12+Simulation!$F$12*OR(Simulation!$F$11="Amortissable différé partiel",Simulation!$F$11="Amortissable différé total"),Simulation!$F$24*12),IF(AND(B77&lt;=Simulation!$F$12,OR(Simulation!$F$11="Amortissable différé partiel",Simulation!$F$11="Amortissable différé total")),C76*(1+(Simulation!$F$11="Amortissable différé total")*Simulation!$F$8/12),C76-D77),0)</f>
        <v>131768.46797293957</v>
      </c>
      <c r="D77" s="114">
        <f>IF(B77&lt;=MIN(Simulation!$F$10*12+Simulation!$F$12*OR(Simulation!$F$11="Amortissable différé partiel",Simulation!$F$11="Amortissable différé total"),Simulation!$F$24*12),G77-E77,0)</f>
        <v>695.28132282569686</v>
      </c>
      <c r="E77" s="114">
        <f>IF(B77&lt;=MIN(Simulation!$F$10*12+Simulation!$F$12*OR(Simulation!$F$11="Amortissable différé partiel",Simulation!$F$11="Amortissable différé total"),Simulation!$F$24*12),IF(AND(B77&lt;=Simulation!$F$12,Simulation!$F$11="Amortissable différé total"),0,C76*Simulation!$F$8/12),0)</f>
        <v>165.57968661970659</v>
      </c>
      <c r="F77" s="114">
        <f>IF(B77&lt;=MIN(Simulation!$F$10*12+Simulation!$F$12*OR(Simulation!$F$11="Amortissable différé partiel",Simulation!$F$11="Amortissable différé total"),Simulation!$F$24*12),Simulation!$E$33*Simulation!$F$9/12,0)</f>
        <v>29.733333333333334</v>
      </c>
      <c r="G77" s="115">
        <f>IF(B77&lt;=MIN(Simulation!$F$10*12+Simulation!$F$12*OR(Simulation!$F$11="Amortissable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partiel",IF(B77&lt;=Simulation!$F$12,Simulation!$E$33*Simulation!$F$8/12,PMT(Simulation!$F$8/12,Simulation!$F$10*12,-Simulation!$E$34)),IF(Simulation!$F$11="Amortissable différé total",IF(B77&lt;=Simulation!$F$12,0,PMT(Simulation!$F$8/12,Simulation!$F$10*12,-Simulation!$E$34)),IF(Simulation!$F$11="In fine",IF(B77=Simulation!$F$10*12,Simulation!$E$34,Simulation!$F$8*Simulation!$E$34/12),0)))),0)</f>
        <v>860.8610094454034</v>
      </c>
      <c r="H77" s="113">
        <f>Simulation!$C$16/12*(1+Simulation!$F$15)^INT((B77-1)/12)*(B77&lt;=Simulation!$F$24*12)</f>
        <v>1051.0100500999999</v>
      </c>
      <c r="I77" s="114">
        <f>(Simulation!$F$22-VLOOKUP(Simulation!$C$27,'Comparatif fiscal'!$B$8:$E$17,4,FALSE)-C77)*(B77=Simulation!$F$24*12)</f>
        <v>0</v>
      </c>
      <c r="J77" s="114">
        <f>(Simulation!$C$21+Simulation!$C$22)/12*(1+Simulation!$F$17)^INT((B77-1)/12)*(B77&lt;=Simulation!$F$24*12)</f>
        <v>131.37625626249999</v>
      </c>
      <c r="K77" s="114">
        <f>(H77*Simulation!$C$24+Simulation!$C$23/12*(1+Simulation!$F$15)^INT((B77-1)/12))*(B77&lt;=Simulation!$F$24*12)</f>
        <v>108.60437184366667</v>
      </c>
      <c r="L77" s="114">
        <f>Simulation!$C$19/12*(1+Simulation!$F$18)^INT((B77-1)/12)*(B77&lt;=Simulation!$F$24*12)</f>
        <v>52.550502504999997</v>
      </c>
      <c r="M77" s="114">
        <f>(Simulation!$C$20/12*(1+Simulation!$F$19)^INT((B77-1)/12)+F77)*(B77&lt;=Simulation!$F$24*12)</f>
        <v>38.4917504175</v>
      </c>
      <c r="N77" s="114">
        <f ca="1">SUMIF('Détail fiscalité'!$B$8:$B$37,INT(B77/12),'Détail fiscalité'!$CI$8:$CI$37)/12+SUMIF('Détail fiscalité'!$B$8:$B$37,B77/12,'Détail fiscalité'!$CI$8:$CI$37)-SUMIF('Détail fiscalité'!$B$8:$B$37,B77/12-1,'Détail fiscalité'!$CI$8:$CI$37)</f>
        <v>0</v>
      </c>
      <c r="O77" s="116">
        <f t="shared" ca="1" si="18"/>
        <v>-140.87384037407014</v>
      </c>
    </row>
    <row r="78" spans="2:18" x14ac:dyDescent="0.15">
      <c r="B78" s="40">
        <f t="shared" si="17"/>
        <v>71</v>
      </c>
      <c r="C78" s="113">
        <f>IF(B78&lt;=MIN(Simulation!$F$10*12+Simulation!$F$12*OR(Simulation!$F$11="Amortissable différé partiel",Simulation!$F$11="Amortissable différé total"),Simulation!$F$24*12),IF(AND(B78&lt;=Simulation!$F$12,OR(Simulation!$F$11="Amortissable différé partiel",Simulation!$F$11="Amortissable différé total")),C77*(1+(Simulation!$F$11="Amortissable différé total")*Simulation!$F$8/12),C77-D78),0)</f>
        <v>131072.31754846036</v>
      </c>
      <c r="D78" s="114">
        <f>IF(B78&lt;=MIN(Simulation!$F$10*12+Simulation!$F$12*OR(Simulation!$F$11="Amortissable différé partiel",Simulation!$F$11="Amortissable différé total"),Simulation!$F$24*12),G78-E78,0)</f>
        <v>696.15042447922895</v>
      </c>
      <c r="E78" s="114">
        <f>IF(B78&lt;=MIN(Simulation!$F$10*12+Simulation!$F$12*OR(Simulation!$F$11="Amortissable différé partiel",Simulation!$F$11="Amortissable différé total"),Simulation!$F$24*12),IF(AND(B78&lt;=Simulation!$F$12,Simulation!$F$11="Amortissable différé total"),0,C77*Simulation!$F$8/12),0)</f>
        <v>164.71058496617445</v>
      </c>
      <c r="F78" s="114">
        <f>IF(B78&lt;=MIN(Simulation!$F$10*12+Simulation!$F$12*OR(Simulation!$F$11="Amortissable différé partiel",Simulation!$F$11="Amortissable différé total"),Simulation!$F$24*12),Simulation!$E$33*Simulation!$F$9/12,0)</f>
        <v>29.733333333333334</v>
      </c>
      <c r="G78" s="115">
        <f>IF(B78&lt;=MIN(Simulation!$F$10*12+Simulation!$F$12*OR(Simulation!$F$11="Amortissable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partiel",IF(B78&lt;=Simulation!$F$12,Simulation!$E$33*Simulation!$F$8/12,PMT(Simulation!$F$8/12,Simulation!$F$10*12,-Simulation!$E$34)),IF(Simulation!$F$11="Amortissable différé total",IF(B78&lt;=Simulation!$F$12,0,PMT(Simulation!$F$8/12,Simulation!$F$10*12,-Simulation!$E$34)),IF(Simulation!$F$11="In fine",IF(B78=Simulation!$F$10*12,Simulation!$E$34,Simulation!$F$8*Simulation!$E$34/12),0)))),0)</f>
        <v>860.8610094454034</v>
      </c>
      <c r="H78" s="113">
        <f>Simulation!$C$16/12*(1+Simulation!$F$15)^INT((B78-1)/12)*(B78&lt;=Simulation!$F$24*12)</f>
        <v>1051.0100500999999</v>
      </c>
      <c r="I78" s="114">
        <f>(Simulation!$F$22-VLOOKUP(Simulation!$C$27,'Comparatif fiscal'!$B$8:$E$17,4,FALSE)-C78)*(B78=Simulation!$F$24*12)</f>
        <v>0</v>
      </c>
      <c r="J78" s="114">
        <f>(Simulation!$C$21+Simulation!$C$22)/12*(1+Simulation!$F$17)^INT((B78-1)/12)*(B78&lt;=Simulation!$F$24*12)</f>
        <v>131.37625626249999</v>
      </c>
      <c r="K78" s="114">
        <f>(H78*Simulation!$C$24+Simulation!$C$23/12*(1+Simulation!$F$15)^INT((B78-1)/12))*(B78&lt;=Simulation!$F$24*12)</f>
        <v>108.60437184366667</v>
      </c>
      <c r="L78" s="114">
        <f>Simulation!$C$19/12*(1+Simulation!$F$18)^INT((B78-1)/12)*(B78&lt;=Simulation!$F$24*12)</f>
        <v>52.550502504999997</v>
      </c>
      <c r="M78" s="114">
        <f>(Simulation!$C$20/12*(1+Simulation!$F$19)^INT((B78-1)/12)+F78)*(B78&lt;=Simulation!$F$24*12)</f>
        <v>38.4917504175</v>
      </c>
      <c r="N78" s="114">
        <f ca="1">SUMIF('Détail fiscalité'!$B$8:$B$37,INT(B78/12),'Détail fiscalité'!$CI$8:$CI$37)/12+SUMIF('Détail fiscalité'!$B$8:$B$37,B78/12,'Détail fiscalité'!$CI$8:$CI$37)-SUMIF('Détail fiscalité'!$B$8:$B$37,B78/12-1,'Détail fiscalité'!$CI$8:$CI$37)</f>
        <v>0</v>
      </c>
      <c r="O78" s="116">
        <f t="shared" ca="1" si="18"/>
        <v>-140.87384037407014</v>
      </c>
    </row>
    <row r="79" spans="2:18" x14ac:dyDescent="0.15">
      <c r="B79" s="40">
        <f t="shared" si="17"/>
        <v>72</v>
      </c>
      <c r="C79" s="113">
        <f>IF(B79&lt;=MIN(Simulation!$F$10*12+Simulation!$F$12*OR(Simulation!$F$11="Amortissable différé partiel",Simulation!$F$11="Amortissable différé total"),Simulation!$F$24*12),IF(AND(B79&lt;=Simulation!$F$12,OR(Simulation!$F$11="Amortissable différé partiel",Simulation!$F$11="Amortissable différé total")),C78*(1+(Simulation!$F$11="Amortissable différé total")*Simulation!$F$8/12),C78-D79),0)</f>
        <v>130375.29693595052</v>
      </c>
      <c r="D79" s="114">
        <f>IF(B79&lt;=MIN(Simulation!$F$10*12+Simulation!$F$12*OR(Simulation!$F$11="Amortissable différé partiel",Simulation!$F$11="Amortissable différé total"),Simulation!$F$24*12),G79-E79,0)</f>
        <v>697.02061250982797</v>
      </c>
      <c r="E79" s="114">
        <f>IF(B79&lt;=MIN(Simulation!$F$10*12+Simulation!$F$12*OR(Simulation!$F$11="Amortissable différé partiel",Simulation!$F$11="Amortissable différé total"),Simulation!$F$24*12),IF(AND(B79&lt;=Simulation!$F$12,Simulation!$F$11="Amortissable différé total"),0,C78*Simulation!$F$8/12),0)</f>
        <v>163.84039693557546</v>
      </c>
      <c r="F79" s="114">
        <f>IF(B79&lt;=MIN(Simulation!$F$10*12+Simulation!$F$12*OR(Simulation!$F$11="Amortissable différé partiel",Simulation!$F$11="Amortissable différé total"),Simulation!$F$24*12),Simulation!$E$33*Simulation!$F$9/12,0)</f>
        <v>29.733333333333334</v>
      </c>
      <c r="G79" s="115">
        <f>IF(B79&lt;=MIN(Simulation!$F$10*12+Simulation!$F$12*OR(Simulation!$F$11="Amortissable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partiel",IF(B79&lt;=Simulation!$F$12,Simulation!$E$33*Simulation!$F$8/12,PMT(Simulation!$F$8/12,Simulation!$F$10*12,-Simulation!$E$34)),IF(Simulation!$F$11="Amortissable différé total",IF(B79&lt;=Simulation!$F$12,0,PMT(Simulation!$F$8/12,Simulation!$F$10*12,-Simulation!$E$34)),IF(Simulation!$F$11="In fine",IF(B79=Simulation!$F$10*12,Simulation!$E$34,Simulation!$F$8*Simulation!$E$34/12),0)))),0)</f>
        <v>860.8610094454034</v>
      </c>
      <c r="H79" s="113">
        <f>Simulation!$C$16/12*(1+Simulation!$F$15)^INT((B79-1)/12)*(B79&lt;=Simulation!$F$24*12)</f>
        <v>1051.0100500999999</v>
      </c>
      <c r="I79" s="114">
        <f>(Simulation!$F$22-VLOOKUP(Simulation!$C$27,'Comparatif fiscal'!$B$8:$E$17,4,FALSE)-C79)*(B79=Simulation!$F$24*12)</f>
        <v>0</v>
      </c>
      <c r="J79" s="114">
        <f>(Simulation!$C$21+Simulation!$C$22)/12*(1+Simulation!$F$17)^INT((B79-1)/12)*(B79&lt;=Simulation!$F$24*12)</f>
        <v>131.37625626249999</v>
      </c>
      <c r="K79" s="114">
        <f>(H79*Simulation!$C$24+Simulation!$C$23/12*(1+Simulation!$F$15)^INT((B79-1)/12))*(B79&lt;=Simulation!$F$24*12)</f>
        <v>108.60437184366667</v>
      </c>
      <c r="L79" s="114">
        <f>Simulation!$C$19/12*(1+Simulation!$F$18)^INT((B79-1)/12)*(B79&lt;=Simulation!$F$24*12)</f>
        <v>52.550502504999997</v>
      </c>
      <c r="M79" s="114">
        <f>(Simulation!$C$20/12*(1+Simulation!$F$19)^INT((B79-1)/12)+F79)*(B79&lt;=Simulation!$F$24*12)</f>
        <v>38.4917504175</v>
      </c>
      <c r="N79" s="114">
        <f ca="1">SUMIF('Détail fiscalité'!$B$8:$B$37,INT(B79/12),'Détail fiscalité'!$CI$8:$CI$37)/12+SUMIF('Détail fiscalité'!$B$8:$B$37,B79/12,'Détail fiscalité'!$CI$8:$CI$37)-SUMIF('Détail fiscalité'!$B$8:$B$37,B79/12-1,'Détail fiscalité'!$CI$8:$CI$37)</f>
        <v>0</v>
      </c>
      <c r="O79" s="116">
        <f t="shared" ca="1" si="18"/>
        <v>-140.87384037407014</v>
      </c>
    </row>
    <row r="80" spans="2:18" x14ac:dyDescent="0.15">
      <c r="B80" s="40">
        <f t="shared" si="17"/>
        <v>73</v>
      </c>
      <c r="C80" s="113">
        <f>IF(B80&lt;=MIN(Simulation!$F$10*12+Simulation!$F$12*OR(Simulation!$F$11="Amortissable différé partiel",Simulation!$F$11="Amortissable différé total"),Simulation!$F$24*12),IF(AND(B80&lt;=Simulation!$F$12,OR(Simulation!$F$11="Amortissable différé partiel",Simulation!$F$11="Amortissable différé total")),C79*(1+(Simulation!$F$11="Amortissable différé total")*Simulation!$F$8/12),C79-D80),0)</f>
        <v>129677.40504767506</v>
      </c>
      <c r="D80" s="114">
        <f>IF(B80&lt;=MIN(Simulation!$F$10*12+Simulation!$F$12*OR(Simulation!$F$11="Amortissable différé partiel",Simulation!$F$11="Amortissable différé total"),Simulation!$F$24*12),G80-E80,0)</f>
        <v>697.89188827546525</v>
      </c>
      <c r="E80" s="114">
        <f>IF(B80&lt;=MIN(Simulation!$F$10*12+Simulation!$F$12*OR(Simulation!$F$11="Amortissable différé partiel",Simulation!$F$11="Amortissable différé total"),Simulation!$F$24*12),IF(AND(B80&lt;=Simulation!$F$12,Simulation!$F$11="Amortissable différé total"),0,C79*Simulation!$F$8/12),0)</f>
        <v>162.96912116993815</v>
      </c>
      <c r="F80" s="114">
        <f>IF(B80&lt;=MIN(Simulation!$F$10*12+Simulation!$F$12*OR(Simulation!$F$11="Amortissable différé partiel",Simulation!$F$11="Amortissable différé total"),Simulation!$F$24*12),Simulation!$E$33*Simulation!$F$9/12,0)</f>
        <v>29.733333333333334</v>
      </c>
      <c r="G80" s="115">
        <f>IF(B80&lt;=MIN(Simulation!$F$10*12+Simulation!$F$12*OR(Simulation!$F$11="Amortissable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partiel",IF(B80&lt;=Simulation!$F$12,Simulation!$E$33*Simulation!$F$8/12,PMT(Simulation!$F$8/12,Simulation!$F$10*12,-Simulation!$E$34)),IF(Simulation!$F$11="Amortissable différé total",IF(B80&lt;=Simulation!$F$12,0,PMT(Simulation!$F$8/12,Simulation!$F$10*12,-Simulation!$E$34)),IF(Simulation!$F$11="In fine",IF(B80=Simulation!$F$10*12,Simulation!$E$34,Simulation!$F$8*Simulation!$E$34/12),0)))),0)</f>
        <v>860.8610094454034</v>
      </c>
      <c r="H80" s="113">
        <f>Simulation!$C$16/12*(1+Simulation!$F$15)^INT((B80-1)/12)*(B80&lt;=Simulation!$F$24*12)</f>
        <v>1061.5201506010001</v>
      </c>
      <c r="I80" s="114">
        <f>(Simulation!$F$22-VLOOKUP(Simulation!$C$27,'Comparatif fiscal'!$B$8:$E$17,4,FALSE)-C80)*(B80=Simulation!$F$24*12)</f>
        <v>0</v>
      </c>
      <c r="J80" s="114">
        <f>(Simulation!$C$21+Simulation!$C$22)/12*(1+Simulation!$F$17)^INT((B80-1)/12)*(B80&lt;=Simulation!$F$24*12)</f>
        <v>132.69001882512501</v>
      </c>
      <c r="K80" s="114">
        <f>(H80*Simulation!$C$24+Simulation!$C$23/12*(1+Simulation!$F$15)^INT((B80-1)/12))*(B80&lt;=Simulation!$F$24*12)</f>
        <v>109.69041556210335</v>
      </c>
      <c r="L80" s="114">
        <f>Simulation!$C$19/12*(1+Simulation!$F$18)^INT((B80-1)/12)*(B80&lt;=Simulation!$F$24*12)</f>
        <v>53.076007530050006</v>
      </c>
      <c r="M80" s="114">
        <f>(Simulation!$C$20/12*(1+Simulation!$F$19)^INT((B80-1)/12)+F80)*(B80&lt;=Simulation!$F$24*12)</f>
        <v>38.579334588341666</v>
      </c>
      <c r="N80" s="114">
        <f ca="1">SUMIF('Détail fiscalité'!$B$8:$B$37,INT(B80/12),'Détail fiscalité'!$CI$8:$CI$37)/12+SUMIF('Détail fiscalité'!$B$8:$B$37,B80/12,'Détail fiscalité'!$CI$8:$CI$37)-SUMIF('Détail fiscalité'!$B$8:$B$37,B80/12-1,'Détail fiscalité'!$CI$8:$CI$37)</f>
        <v>0</v>
      </c>
      <c r="O80" s="116">
        <f t="shared" ca="1" si="18"/>
        <v>-133.37663535002343</v>
      </c>
    </row>
    <row r="81" spans="2:15" x14ac:dyDescent="0.15">
      <c r="B81" s="40">
        <f t="shared" si="17"/>
        <v>74</v>
      </c>
      <c r="C81" s="113">
        <f>IF(B81&lt;=MIN(Simulation!$F$10*12+Simulation!$F$12*OR(Simulation!$F$11="Amortissable différé partiel",Simulation!$F$11="Amortissable différé total"),Simulation!$F$24*12),IF(AND(B81&lt;=Simulation!$F$12,OR(Simulation!$F$11="Amortissable différé partiel",Simulation!$F$11="Amortissable différé total")),C80*(1+(Simulation!$F$11="Amortissable différé total")*Simulation!$F$8/12),C80-D81),0)</f>
        <v>128978.64079453924</v>
      </c>
      <c r="D81" s="114">
        <f>IF(B81&lt;=MIN(Simulation!$F$10*12+Simulation!$F$12*OR(Simulation!$F$11="Amortissable différé partiel",Simulation!$F$11="Amortissable différé total"),Simulation!$F$24*12),G81-E81,0)</f>
        <v>698.76425313580955</v>
      </c>
      <c r="E81" s="114">
        <f>IF(B81&lt;=MIN(Simulation!$F$10*12+Simulation!$F$12*OR(Simulation!$F$11="Amortissable différé partiel",Simulation!$F$11="Amortissable différé total"),Simulation!$F$24*12),IF(AND(B81&lt;=Simulation!$F$12,Simulation!$F$11="Amortissable différé total"),0,C80*Simulation!$F$8/12),0)</f>
        <v>162.09675630959381</v>
      </c>
      <c r="F81" s="114">
        <f>IF(B81&lt;=MIN(Simulation!$F$10*12+Simulation!$F$12*OR(Simulation!$F$11="Amortissable différé partiel",Simulation!$F$11="Amortissable différé total"),Simulation!$F$24*12),Simulation!$E$33*Simulation!$F$9/12,0)</f>
        <v>29.733333333333334</v>
      </c>
      <c r="G81" s="115">
        <f>IF(B81&lt;=MIN(Simulation!$F$10*12+Simulation!$F$12*OR(Simulation!$F$11="Amortissable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partiel",IF(B81&lt;=Simulation!$F$12,Simulation!$E$33*Simulation!$F$8/12,PMT(Simulation!$F$8/12,Simulation!$F$10*12,-Simulation!$E$34)),IF(Simulation!$F$11="Amortissable différé total",IF(B81&lt;=Simulation!$F$12,0,PMT(Simulation!$F$8/12,Simulation!$F$10*12,-Simulation!$E$34)),IF(Simulation!$F$11="In fine",IF(B81=Simulation!$F$10*12,Simulation!$E$34,Simulation!$F$8*Simulation!$E$34/12),0)))),0)</f>
        <v>860.8610094454034</v>
      </c>
      <c r="H81" s="113">
        <f>Simulation!$C$16/12*(1+Simulation!$F$15)^INT((B81-1)/12)*(B81&lt;=Simulation!$F$24*12)</f>
        <v>1061.5201506010001</v>
      </c>
      <c r="I81" s="114">
        <f>(Simulation!$F$22-VLOOKUP(Simulation!$C$27,'Comparatif fiscal'!$B$8:$E$17,4,FALSE)-C81)*(B81=Simulation!$F$24*12)</f>
        <v>0</v>
      </c>
      <c r="J81" s="114">
        <f>(Simulation!$C$21+Simulation!$C$22)/12*(1+Simulation!$F$17)^INT((B81-1)/12)*(B81&lt;=Simulation!$F$24*12)</f>
        <v>132.69001882512501</v>
      </c>
      <c r="K81" s="114">
        <f>(H81*Simulation!$C$24+Simulation!$C$23/12*(1+Simulation!$F$15)^INT((B81-1)/12))*(B81&lt;=Simulation!$F$24*12)</f>
        <v>109.69041556210335</v>
      </c>
      <c r="L81" s="114">
        <f>Simulation!$C$19/12*(1+Simulation!$F$18)^INT((B81-1)/12)*(B81&lt;=Simulation!$F$24*12)</f>
        <v>53.076007530050006</v>
      </c>
      <c r="M81" s="114">
        <f>(Simulation!$C$20/12*(1+Simulation!$F$19)^INT((B81-1)/12)+F81)*(B81&lt;=Simulation!$F$24*12)</f>
        <v>38.579334588341666</v>
      </c>
      <c r="N81" s="114">
        <f ca="1">SUMIF('Détail fiscalité'!$B$8:$B$37,INT(B81/12),'Détail fiscalité'!$CI$8:$CI$37)/12+SUMIF('Détail fiscalité'!$B$8:$B$37,B81/12,'Détail fiscalité'!$CI$8:$CI$37)-SUMIF('Détail fiscalité'!$B$8:$B$37,B81/12-1,'Détail fiscalité'!$CI$8:$CI$37)</f>
        <v>0</v>
      </c>
      <c r="O81" s="116">
        <f t="shared" ca="1" si="18"/>
        <v>-133.37663535002343</v>
      </c>
    </row>
    <row r="82" spans="2:15" x14ac:dyDescent="0.15">
      <c r="B82" s="40">
        <f t="shared" si="17"/>
        <v>75</v>
      </c>
      <c r="C82" s="113">
        <f>IF(B82&lt;=MIN(Simulation!$F$10*12+Simulation!$F$12*OR(Simulation!$F$11="Amortissable différé partiel",Simulation!$F$11="Amortissable différé total"),Simulation!$F$24*12),IF(AND(B82&lt;=Simulation!$F$12,OR(Simulation!$F$11="Amortissable différé partiel",Simulation!$F$11="Amortissable différé total")),C81*(1+(Simulation!$F$11="Amortissable différé total")*Simulation!$F$8/12),C81-D82),0)</f>
        <v>128279.00308608702</v>
      </c>
      <c r="D82" s="114">
        <f>IF(B82&lt;=MIN(Simulation!$F$10*12+Simulation!$F$12*OR(Simulation!$F$11="Amortissable différé partiel",Simulation!$F$11="Amortissable différé total"),Simulation!$F$24*12),G82-E82,0)</f>
        <v>699.63770845222939</v>
      </c>
      <c r="E82" s="114">
        <f>IF(B82&lt;=MIN(Simulation!$F$10*12+Simulation!$F$12*OR(Simulation!$F$11="Amortissable différé partiel",Simulation!$F$11="Amortissable différé total"),Simulation!$F$24*12),IF(AND(B82&lt;=Simulation!$F$12,Simulation!$F$11="Amortissable différé total"),0,C81*Simulation!$F$8/12),0)</f>
        <v>161.22330099317404</v>
      </c>
      <c r="F82" s="114">
        <f>IF(B82&lt;=MIN(Simulation!$F$10*12+Simulation!$F$12*OR(Simulation!$F$11="Amortissable différé partiel",Simulation!$F$11="Amortissable différé total"),Simulation!$F$24*12),Simulation!$E$33*Simulation!$F$9/12,0)</f>
        <v>29.733333333333334</v>
      </c>
      <c r="G82" s="115">
        <f>IF(B82&lt;=MIN(Simulation!$F$10*12+Simulation!$F$12*OR(Simulation!$F$11="Amortissable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partiel",IF(B82&lt;=Simulation!$F$12,Simulation!$E$33*Simulation!$F$8/12,PMT(Simulation!$F$8/12,Simulation!$F$10*12,-Simulation!$E$34)),IF(Simulation!$F$11="Amortissable différé total",IF(B82&lt;=Simulation!$F$12,0,PMT(Simulation!$F$8/12,Simulation!$F$10*12,-Simulation!$E$34)),IF(Simulation!$F$11="In fine",IF(B82=Simulation!$F$10*12,Simulation!$E$34,Simulation!$F$8*Simulation!$E$34/12),0)))),0)</f>
        <v>860.8610094454034</v>
      </c>
      <c r="H82" s="113">
        <f>Simulation!$C$16/12*(1+Simulation!$F$15)^INT((B82-1)/12)*(B82&lt;=Simulation!$F$24*12)</f>
        <v>1061.5201506010001</v>
      </c>
      <c r="I82" s="114">
        <f>(Simulation!$F$22-VLOOKUP(Simulation!$C$27,'Comparatif fiscal'!$B$8:$E$17,4,FALSE)-C82)*(B82=Simulation!$F$24*12)</f>
        <v>0</v>
      </c>
      <c r="J82" s="114">
        <f>(Simulation!$C$21+Simulation!$C$22)/12*(1+Simulation!$F$17)^INT((B82-1)/12)*(B82&lt;=Simulation!$F$24*12)</f>
        <v>132.69001882512501</v>
      </c>
      <c r="K82" s="114">
        <f>(H82*Simulation!$C$24+Simulation!$C$23/12*(1+Simulation!$F$15)^INT((B82-1)/12))*(B82&lt;=Simulation!$F$24*12)</f>
        <v>109.69041556210335</v>
      </c>
      <c r="L82" s="114">
        <f>Simulation!$C$19/12*(1+Simulation!$F$18)^INT((B82-1)/12)*(B82&lt;=Simulation!$F$24*12)</f>
        <v>53.076007530050006</v>
      </c>
      <c r="M82" s="114">
        <f>(Simulation!$C$20/12*(1+Simulation!$F$19)^INT((B82-1)/12)+F82)*(B82&lt;=Simulation!$F$24*12)</f>
        <v>38.579334588341666</v>
      </c>
      <c r="N82" s="114">
        <f ca="1">SUMIF('Détail fiscalité'!$B$8:$B$37,INT(B82/12),'Détail fiscalité'!$CI$8:$CI$37)/12+SUMIF('Détail fiscalité'!$B$8:$B$37,B82/12,'Détail fiscalité'!$CI$8:$CI$37)-SUMIF('Détail fiscalité'!$B$8:$B$37,B82/12-1,'Détail fiscalité'!$CI$8:$CI$37)</f>
        <v>0</v>
      </c>
      <c r="O82" s="116">
        <f t="shared" ca="1" si="18"/>
        <v>-133.37663535002343</v>
      </c>
    </row>
    <row r="83" spans="2:15" x14ac:dyDescent="0.15">
      <c r="B83" s="40">
        <f t="shared" si="17"/>
        <v>76</v>
      </c>
      <c r="C83" s="113">
        <f>IF(B83&lt;=MIN(Simulation!$F$10*12+Simulation!$F$12*OR(Simulation!$F$11="Amortissable différé partiel",Simulation!$F$11="Amortissable différé total"),Simulation!$F$24*12),IF(AND(B83&lt;=Simulation!$F$12,OR(Simulation!$F$11="Amortissable différé partiel",Simulation!$F$11="Amortissable différé total")),C82*(1+(Simulation!$F$11="Amortissable différé total")*Simulation!$F$8/12),C82-D83),0)</f>
        <v>127578.49083049923</v>
      </c>
      <c r="D83" s="114">
        <f>IF(B83&lt;=MIN(Simulation!$F$10*12+Simulation!$F$12*OR(Simulation!$F$11="Amortissable différé partiel",Simulation!$F$11="Amortissable différé total"),Simulation!$F$24*12),G83-E83,0)</f>
        <v>700.51225558779458</v>
      </c>
      <c r="E83" s="114">
        <f>IF(B83&lt;=MIN(Simulation!$F$10*12+Simulation!$F$12*OR(Simulation!$F$11="Amortissable différé partiel",Simulation!$F$11="Amortissable différé total"),Simulation!$F$24*12),IF(AND(B83&lt;=Simulation!$F$12,Simulation!$F$11="Amortissable différé total"),0,C82*Simulation!$F$8/12),0)</f>
        <v>160.34875385760878</v>
      </c>
      <c r="F83" s="114">
        <f>IF(B83&lt;=MIN(Simulation!$F$10*12+Simulation!$F$12*OR(Simulation!$F$11="Amortissable différé partiel",Simulation!$F$11="Amortissable différé total"),Simulation!$F$24*12),Simulation!$E$33*Simulation!$F$9/12,0)</f>
        <v>29.733333333333334</v>
      </c>
      <c r="G83" s="115">
        <f>IF(B83&lt;=MIN(Simulation!$F$10*12+Simulation!$F$12*OR(Simulation!$F$11="Amortissable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partiel",IF(B83&lt;=Simulation!$F$12,Simulation!$E$33*Simulation!$F$8/12,PMT(Simulation!$F$8/12,Simulation!$F$10*12,-Simulation!$E$34)),IF(Simulation!$F$11="Amortissable différé total",IF(B83&lt;=Simulation!$F$12,0,PMT(Simulation!$F$8/12,Simulation!$F$10*12,-Simulation!$E$34)),IF(Simulation!$F$11="In fine",IF(B83=Simulation!$F$10*12,Simulation!$E$34,Simulation!$F$8*Simulation!$E$34/12),0)))),0)</f>
        <v>860.8610094454034</v>
      </c>
      <c r="H83" s="113">
        <f>Simulation!$C$16/12*(1+Simulation!$F$15)^INT((B83-1)/12)*(B83&lt;=Simulation!$F$24*12)</f>
        <v>1061.5201506010001</v>
      </c>
      <c r="I83" s="114">
        <f>(Simulation!$F$22-VLOOKUP(Simulation!$C$27,'Comparatif fiscal'!$B$8:$E$17,4,FALSE)-C83)*(B83=Simulation!$F$24*12)</f>
        <v>0</v>
      </c>
      <c r="J83" s="114">
        <f>(Simulation!$C$21+Simulation!$C$22)/12*(1+Simulation!$F$17)^INT((B83-1)/12)*(B83&lt;=Simulation!$F$24*12)</f>
        <v>132.69001882512501</v>
      </c>
      <c r="K83" s="114">
        <f>(H83*Simulation!$C$24+Simulation!$C$23/12*(1+Simulation!$F$15)^INT((B83-1)/12))*(B83&lt;=Simulation!$F$24*12)</f>
        <v>109.69041556210335</v>
      </c>
      <c r="L83" s="114">
        <f>Simulation!$C$19/12*(1+Simulation!$F$18)^INT((B83-1)/12)*(B83&lt;=Simulation!$F$24*12)</f>
        <v>53.076007530050006</v>
      </c>
      <c r="M83" s="114">
        <f>(Simulation!$C$20/12*(1+Simulation!$F$19)^INT((B83-1)/12)+F83)*(B83&lt;=Simulation!$F$24*12)</f>
        <v>38.579334588341666</v>
      </c>
      <c r="N83" s="114">
        <f ca="1">SUMIF('Détail fiscalité'!$B$8:$B$37,INT(B83/12),'Détail fiscalité'!$CI$8:$CI$37)/12+SUMIF('Détail fiscalité'!$B$8:$B$37,B83/12,'Détail fiscalité'!$CI$8:$CI$37)-SUMIF('Détail fiscalité'!$B$8:$B$37,B83/12-1,'Détail fiscalité'!$CI$8:$CI$37)</f>
        <v>0</v>
      </c>
      <c r="O83" s="116">
        <f t="shared" ca="1" si="18"/>
        <v>-133.37663535002343</v>
      </c>
    </row>
    <row r="84" spans="2:15" x14ac:dyDescent="0.15">
      <c r="B84" s="40">
        <f t="shared" si="17"/>
        <v>77</v>
      </c>
      <c r="C84" s="113">
        <f>IF(B84&lt;=MIN(Simulation!$F$10*12+Simulation!$F$12*OR(Simulation!$F$11="Amortissable différé partiel",Simulation!$F$11="Amortissable différé total"),Simulation!$F$24*12),IF(AND(B84&lt;=Simulation!$F$12,OR(Simulation!$F$11="Amortissable différé partiel",Simulation!$F$11="Amortissable différé total")),C83*(1+(Simulation!$F$11="Amortissable différé total")*Simulation!$F$8/12),C83-D84),0)</f>
        <v>126877.10293459195</v>
      </c>
      <c r="D84" s="114">
        <f>IF(B84&lt;=MIN(Simulation!$F$10*12+Simulation!$F$12*OR(Simulation!$F$11="Amortissable différé partiel",Simulation!$F$11="Amortissable différé total"),Simulation!$F$24*12),G84-E84,0)</f>
        <v>701.38789590727936</v>
      </c>
      <c r="E84" s="114">
        <f>IF(B84&lt;=MIN(Simulation!$F$10*12+Simulation!$F$12*OR(Simulation!$F$11="Amortissable différé partiel",Simulation!$F$11="Amortissable différé total"),Simulation!$F$24*12),IF(AND(B84&lt;=Simulation!$F$12,Simulation!$F$11="Amortissable différé total"),0,C83*Simulation!$F$8/12),0)</f>
        <v>159.47311353812401</v>
      </c>
      <c r="F84" s="114">
        <f>IF(B84&lt;=MIN(Simulation!$F$10*12+Simulation!$F$12*OR(Simulation!$F$11="Amortissable différé partiel",Simulation!$F$11="Amortissable différé total"),Simulation!$F$24*12),Simulation!$E$33*Simulation!$F$9/12,0)</f>
        <v>29.733333333333334</v>
      </c>
      <c r="G84" s="115">
        <f>IF(B84&lt;=MIN(Simulation!$F$10*12+Simulation!$F$12*OR(Simulation!$F$11="Amortissable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partiel",IF(B84&lt;=Simulation!$F$12,Simulation!$E$33*Simulation!$F$8/12,PMT(Simulation!$F$8/12,Simulation!$F$10*12,-Simulation!$E$34)),IF(Simulation!$F$11="Amortissable différé total",IF(B84&lt;=Simulation!$F$12,0,PMT(Simulation!$F$8/12,Simulation!$F$10*12,-Simulation!$E$34)),IF(Simulation!$F$11="In fine",IF(B84=Simulation!$F$10*12,Simulation!$E$34,Simulation!$F$8*Simulation!$E$34/12),0)))),0)</f>
        <v>860.8610094454034</v>
      </c>
      <c r="H84" s="113">
        <f>Simulation!$C$16/12*(1+Simulation!$F$15)^INT((B84-1)/12)*(B84&lt;=Simulation!$F$24*12)</f>
        <v>1061.5201506010001</v>
      </c>
      <c r="I84" s="114">
        <f>(Simulation!$F$22-VLOOKUP(Simulation!$C$27,'Comparatif fiscal'!$B$8:$E$17,4,FALSE)-C84)*(B84=Simulation!$F$24*12)</f>
        <v>0</v>
      </c>
      <c r="J84" s="114">
        <f>(Simulation!$C$21+Simulation!$C$22)/12*(1+Simulation!$F$17)^INT((B84-1)/12)*(B84&lt;=Simulation!$F$24*12)</f>
        <v>132.69001882512501</v>
      </c>
      <c r="K84" s="114">
        <f>(H84*Simulation!$C$24+Simulation!$C$23/12*(1+Simulation!$F$15)^INT((B84-1)/12))*(B84&lt;=Simulation!$F$24*12)</f>
        <v>109.69041556210335</v>
      </c>
      <c r="L84" s="114">
        <f>Simulation!$C$19/12*(1+Simulation!$F$18)^INT((B84-1)/12)*(B84&lt;=Simulation!$F$24*12)</f>
        <v>53.076007530050006</v>
      </c>
      <c r="M84" s="114">
        <f>(Simulation!$C$20/12*(1+Simulation!$F$19)^INT((B84-1)/12)+F84)*(B84&lt;=Simulation!$F$24*12)</f>
        <v>38.579334588341666</v>
      </c>
      <c r="N84" s="114">
        <f ca="1">SUMIF('Détail fiscalité'!$B$8:$B$37,INT(B84/12),'Détail fiscalité'!$CI$8:$CI$37)/12+SUMIF('Détail fiscalité'!$B$8:$B$37,B84/12,'Détail fiscalité'!$CI$8:$CI$37)-SUMIF('Détail fiscalité'!$B$8:$B$37,B84/12-1,'Détail fiscalité'!$CI$8:$CI$37)</f>
        <v>0</v>
      </c>
      <c r="O84" s="116">
        <f t="shared" ca="1" si="18"/>
        <v>-133.37663535002343</v>
      </c>
    </row>
    <row r="85" spans="2:15" x14ac:dyDescent="0.15">
      <c r="B85" s="40">
        <f t="shared" si="17"/>
        <v>78</v>
      </c>
      <c r="C85" s="113">
        <f>IF(B85&lt;=MIN(Simulation!$F$10*12+Simulation!$F$12*OR(Simulation!$F$11="Amortissable différé partiel",Simulation!$F$11="Amortissable différé total"),Simulation!$F$24*12),IF(AND(B85&lt;=Simulation!$F$12,OR(Simulation!$F$11="Amortissable différé partiel",Simulation!$F$11="Amortissable différé total")),C84*(1+(Simulation!$F$11="Amortissable différé total")*Simulation!$F$8/12),C84-D85),0)</f>
        <v>126174.83830381479</v>
      </c>
      <c r="D85" s="114">
        <f>IF(B85&lt;=MIN(Simulation!$F$10*12+Simulation!$F$12*OR(Simulation!$F$11="Amortissable différé partiel",Simulation!$F$11="Amortissable différé total"),Simulation!$F$24*12),G85-E85,0)</f>
        <v>702.26463077716346</v>
      </c>
      <c r="E85" s="114">
        <f>IF(B85&lt;=MIN(Simulation!$F$10*12+Simulation!$F$12*OR(Simulation!$F$11="Amortissable différé partiel",Simulation!$F$11="Amortissable différé total"),Simulation!$F$24*12),IF(AND(B85&lt;=Simulation!$F$12,Simulation!$F$11="Amortissable différé total"),0,C84*Simulation!$F$8/12),0)</f>
        <v>158.59637866823994</v>
      </c>
      <c r="F85" s="114">
        <f>IF(B85&lt;=MIN(Simulation!$F$10*12+Simulation!$F$12*OR(Simulation!$F$11="Amortissable différé partiel",Simulation!$F$11="Amortissable différé total"),Simulation!$F$24*12),Simulation!$E$33*Simulation!$F$9/12,0)</f>
        <v>29.733333333333334</v>
      </c>
      <c r="G85" s="115">
        <f>IF(B85&lt;=MIN(Simulation!$F$10*12+Simulation!$F$12*OR(Simulation!$F$11="Amortissable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partiel",IF(B85&lt;=Simulation!$F$12,Simulation!$E$33*Simulation!$F$8/12,PMT(Simulation!$F$8/12,Simulation!$F$10*12,-Simulation!$E$34)),IF(Simulation!$F$11="Amortissable différé total",IF(B85&lt;=Simulation!$F$12,0,PMT(Simulation!$F$8/12,Simulation!$F$10*12,-Simulation!$E$34)),IF(Simulation!$F$11="In fine",IF(B85=Simulation!$F$10*12,Simulation!$E$34,Simulation!$F$8*Simulation!$E$34/12),0)))),0)</f>
        <v>860.8610094454034</v>
      </c>
      <c r="H85" s="113">
        <f>Simulation!$C$16/12*(1+Simulation!$F$15)^INT((B85-1)/12)*(B85&lt;=Simulation!$F$24*12)</f>
        <v>1061.5201506010001</v>
      </c>
      <c r="I85" s="114">
        <f>(Simulation!$F$22-VLOOKUP(Simulation!$C$27,'Comparatif fiscal'!$B$8:$E$17,4,FALSE)-C85)*(B85=Simulation!$F$24*12)</f>
        <v>0</v>
      </c>
      <c r="J85" s="114">
        <f>(Simulation!$C$21+Simulation!$C$22)/12*(1+Simulation!$F$17)^INT((B85-1)/12)*(B85&lt;=Simulation!$F$24*12)</f>
        <v>132.69001882512501</v>
      </c>
      <c r="K85" s="114">
        <f>(H85*Simulation!$C$24+Simulation!$C$23/12*(1+Simulation!$F$15)^INT((B85-1)/12))*(B85&lt;=Simulation!$F$24*12)</f>
        <v>109.69041556210335</v>
      </c>
      <c r="L85" s="114">
        <f>Simulation!$C$19/12*(1+Simulation!$F$18)^INT((B85-1)/12)*(B85&lt;=Simulation!$F$24*12)</f>
        <v>53.076007530050006</v>
      </c>
      <c r="M85" s="114">
        <f>(Simulation!$C$20/12*(1+Simulation!$F$19)^INT((B85-1)/12)+F85)*(B85&lt;=Simulation!$F$24*12)</f>
        <v>38.579334588341666</v>
      </c>
      <c r="N85" s="114">
        <f ca="1">SUMIF('Détail fiscalité'!$B$8:$B$37,INT(B85/12),'Détail fiscalité'!$CI$8:$CI$37)/12+SUMIF('Détail fiscalité'!$B$8:$B$37,B85/12,'Détail fiscalité'!$CI$8:$CI$37)-SUMIF('Détail fiscalité'!$B$8:$B$37,B85/12-1,'Détail fiscalité'!$CI$8:$CI$37)</f>
        <v>0</v>
      </c>
      <c r="O85" s="116">
        <f t="shared" ca="1" si="18"/>
        <v>-133.37663535002343</v>
      </c>
    </row>
    <row r="86" spans="2:15" x14ac:dyDescent="0.15">
      <c r="B86" s="40">
        <f t="shared" si="17"/>
        <v>79</v>
      </c>
      <c r="C86" s="113">
        <f>IF(B86&lt;=MIN(Simulation!$F$10*12+Simulation!$F$12*OR(Simulation!$F$11="Amortissable différé partiel",Simulation!$F$11="Amortissable différé total"),Simulation!$F$24*12),IF(AND(B86&lt;=Simulation!$F$12,OR(Simulation!$F$11="Amortissable différé partiel",Simulation!$F$11="Amortissable différé total")),C85*(1+(Simulation!$F$11="Amortissable différé total")*Simulation!$F$8/12),C85-D86),0)</f>
        <v>125471.69584224916</v>
      </c>
      <c r="D86" s="114">
        <f>IF(B86&lt;=MIN(Simulation!$F$10*12+Simulation!$F$12*OR(Simulation!$F$11="Amortissable différé partiel",Simulation!$F$11="Amortissable différé total"),Simulation!$F$24*12),G86-E86,0)</f>
        <v>703.1424615656349</v>
      </c>
      <c r="E86" s="114">
        <f>IF(B86&lt;=MIN(Simulation!$F$10*12+Simulation!$F$12*OR(Simulation!$F$11="Amortissable différé partiel",Simulation!$F$11="Amortissable différé total"),Simulation!$F$24*12),IF(AND(B86&lt;=Simulation!$F$12,Simulation!$F$11="Amortissable différé total"),0,C85*Simulation!$F$8/12),0)</f>
        <v>157.71854787976847</v>
      </c>
      <c r="F86" s="114">
        <f>IF(B86&lt;=MIN(Simulation!$F$10*12+Simulation!$F$12*OR(Simulation!$F$11="Amortissable différé partiel",Simulation!$F$11="Amortissable différé total"),Simulation!$F$24*12),Simulation!$E$33*Simulation!$F$9/12,0)</f>
        <v>29.733333333333334</v>
      </c>
      <c r="G86" s="115">
        <f>IF(B86&lt;=MIN(Simulation!$F$10*12+Simulation!$F$12*OR(Simulation!$F$11="Amortissable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partiel",IF(B86&lt;=Simulation!$F$12,Simulation!$E$33*Simulation!$F$8/12,PMT(Simulation!$F$8/12,Simulation!$F$10*12,-Simulation!$E$34)),IF(Simulation!$F$11="Amortissable différé total",IF(B86&lt;=Simulation!$F$12,0,PMT(Simulation!$F$8/12,Simulation!$F$10*12,-Simulation!$E$34)),IF(Simulation!$F$11="In fine",IF(B86=Simulation!$F$10*12,Simulation!$E$34,Simulation!$F$8*Simulation!$E$34/12),0)))),0)</f>
        <v>860.8610094454034</v>
      </c>
      <c r="H86" s="113">
        <f>Simulation!$C$16/12*(1+Simulation!$F$15)^INT((B86-1)/12)*(B86&lt;=Simulation!$F$24*12)</f>
        <v>1061.5201506010001</v>
      </c>
      <c r="I86" s="114">
        <f>(Simulation!$F$22-VLOOKUP(Simulation!$C$27,'Comparatif fiscal'!$B$8:$E$17,4,FALSE)-C86)*(B86=Simulation!$F$24*12)</f>
        <v>0</v>
      </c>
      <c r="J86" s="114">
        <f>(Simulation!$C$21+Simulation!$C$22)/12*(1+Simulation!$F$17)^INT((B86-1)/12)*(B86&lt;=Simulation!$F$24*12)</f>
        <v>132.69001882512501</v>
      </c>
      <c r="K86" s="114">
        <f>(H86*Simulation!$C$24+Simulation!$C$23/12*(1+Simulation!$F$15)^INT((B86-1)/12))*(B86&lt;=Simulation!$F$24*12)</f>
        <v>109.69041556210335</v>
      </c>
      <c r="L86" s="114">
        <f>Simulation!$C$19/12*(1+Simulation!$F$18)^INT((B86-1)/12)*(B86&lt;=Simulation!$F$24*12)</f>
        <v>53.076007530050006</v>
      </c>
      <c r="M86" s="114">
        <f>(Simulation!$C$20/12*(1+Simulation!$F$19)^INT((B86-1)/12)+F86)*(B86&lt;=Simulation!$F$24*12)</f>
        <v>38.579334588341666</v>
      </c>
      <c r="N86" s="114">
        <f ca="1">SUMIF('Détail fiscalité'!$B$8:$B$37,INT(B86/12),'Détail fiscalité'!$CI$8:$CI$37)/12+SUMIF('Détail fiscalité'!$B$8:$B$37,B86/12,'Détail fiscalité'!$CI$8:$CI$37)-SUMIF('Détail fiscalité'!$B$8:$B$37,B86/12-1,'Détail fiscalité'!$CI$8:$CI$37)</f>
        <v>0</v>
      </c>
      <c r="O86" s="116">
        <f t="shared" ca="1" si="18"/>
        <v>-133.37663535002343</v>
      </c>
    </row>
    <row r="87" spans="2:15" x14ac:dyDescent="0.15">
      <c r="B87" s="40">
        <f t="shared" si="17"/>
        <v>80</v>
      </c>
      <c r="C87" s="113">
        <f>IF(B87&lt;=MIN(Simulation!$F$10*12+Simulation!$F$12*OR(Simulation!$F$11="Amortissable différé partiel",Simulation!$F$11="Amortissable différé total"),Simulation!$F$24*12),IF(AND(B87&lt;=Simulation!$F$12,OR(Simulation!$F$11="Amortissable différé partiel",Simulation!$F$11="Amortissable différé total")),C86*(1+(Simulation!$F$11="Amortissable différé total")*Simulation!$F$8/12),C86-D87),0)</f>
        <v>124767.67445260657</v>
      </c>
      <c r="D87" s="114">
        <f>IF(B87&lt;=MIN(Simulation!$F$10*12+Simulation!$F$12*OR(Simulation!$F$11="Amortissable différé partiel",Simulation!$F$11="Amortissable différé total"),Simulation!$F$24*12),G87-E87,0)</f>
        <v>704.021389642592</v>
      </c>
      <c r="E87" s="114">
        <f>IF(B87&lt;=MIN(Simulation!$F$10*12+Simulation!$F$12*OR(Simulation!$F$11="Amortissable différé partiel",Simulation!$F$11="Amortissable différé total"),Simulation!$F$24*12),IF(AND(B87&lt;=Simulation!$F$12,Simulation!$F$11="Amortissable différé total"),0,C86*Simulation!$F$8/12),0)</f>
        <v>156.83961980281143</v>
      </c>
      <c r="F87" s="114">
        <f>IF(B87&lt;=MIN(Simulation!$F$10*12+Simulation!$F$12*OR(Simulation!$F$11="Amortissable différé partiel",Simulation!$F$11="Amortissable différé total"),Simulation!$F$24*12),Simulation!$E$33*Simulation!$F$9/12,0)</f>
        <v>29.733333333333334</v>
      </c>
      <c r="G87" s="115">
        <f>IF(B87&lt;=MIN(Simulation!$F$10*12+Simulation!$F$12*OR(Simulation!$F$11="Amortissable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partiel",IF(B87&lt;=Simulation!$F$12,Simulation!$E$33*Simulation!$F$8/12,PMT(Simulation!$F$8/12,Simulation!$F$10*12,-Simulation!$E$34)),IF(Simulation!$F$11="Amortissable différé total",IF(B87&lt;=Simulation!$F$12,0,PMT(Simulation!$F$8/12,Simulation!$F$10*12,-Simulation!$E$34)),IF(Simulation!$F$11="In fine",IF(B87=Simulation!$F$10*12,Simulation!$E$34,Simulation!$F$8*Simulation!$E$34/12),0)))),0)</f>
        <v>860.8610094454034</v>
      </c>
      <c r="H87" s="113">
        <f>Simulation!$C$16/12*(1+Simulation!$F$15)^INT((B87-1)/12)*(B87&lt;=Simulation!$F$24*12)</f>
        <v>1061.5201506010001</v>
      </c>
      <c r="I87" s="114">
        <f>(Simulation!$F$22-VLOOKUP(Simulation!$C$27,'Comparatif fiscal'!$B$8:$E$17,4,FALSE)-C87)*(B87=Simulation!$F$24*12)</f>
        <v>0</v>
      </c>
      <c r="J87" s="114">
        <f>(Simulation!$C$21+Simulation!$C$22)/12*(1+Simulation!$F$17)^INT((B87-1)/12)*(B87&lt;=Simulation!$F$24*12)</f>
        <v>132.69001882512501</v>
      </c>
      <c r="K87" s="114">
        <f>(H87*Simulation!$C$24+Simulation!$C$23/12*(1+Simulation!$F$15)^INT((B87-1)/12))*(B87&lt;=Simulation!$F$24*12)</f>
        <v>109.69041556210335</v>
      </c>
      <c r="L87" s="114">
        <f>Simulation!$C$19/12*(1+Simulation!$F$18)^INT((B87-1)/12)*(B87&lt;=Simulation!$F$24*12)</f>
        <v>53.076007530050006</v>
      </c>
      <c r="M87" s="114">
        <f>(Simulation!$C$20/12*(1+Simulation!$F$19)^INT((B87-1)/12)+F87)*(B87&lt;=Simulation!$F$24*12)</f>
        <v>38.579334588341666</v>
      </c>
      <c r="N87" s="114">
        <f ca="1">SUMIF('Détail fiscalité'!$B$8:$B$37,INT(B87/12),'Détail fiscalité'!$CI$8:$CI$37)/12+SUMIF('Détail fiscalité'!$B$8:$B$37,B87/12,'Détail fiscalité'!$CI$8:$CI$37)-SUMIF('Détail fiscalité'!$B$8:$B$37,B87/12-1,'Détail fiscalité'!$CI$8:$CI$37)</f>
        <v>0</v>
      </c>
      <c r="O87" s="116">
        <f t="shared" ca="1" si="18"/>
        <v>-133.37663535002343</v>
      </c>
    </row>
    <row r="88" spans="2:15" x14ac:dyDescent="0.15">
      <c r="B88" s="40">
        <f t="shared" si="17"/>
        <v>81</v>
      </c>
      <c r="C88" s="113">
        <f>IF(B88&lt;=MIN(Simulation!$F$10*12+Simulation!$F$12*OR(Simulation!$F$11="Amortissable différé partiel",Simulation!$F$11="Amortissable différé total"),Simulation!$F$24*12),IF(AND(B88&lt;=Simulation!$F$12,OR(Simulation!$F$11="Amortissable différé partiel",Simulation!$F$11="Amortissable différé total")),C87*(1+(Simulation!$F$11="Amortissable différé total")*Simulation!$F$8/12),C87-D88),0)</f>
        <v>124062.77303622694</v>
      </c>
      <c r="D88" s="114">
        <f>IF(B88&lt;=MIN(Simulation!$F$10*12+Simulation!$F$12*OR(Simulation!$F$11="Amortissable différé partiel",Simulation!$F$11="Amortissable différé total"),Simulation!$F$24*12),G88-E88,0)</f>
        <v>704.90141637964518</v>
      </c>
      <c r="E88" s="114">
        <f>IF(B88&lt;=MIN(Simulation!$F$10*12+Simulation!$F$12*OR(Simulation!$F$11="Amortissable différé partiel",Simulation!$F$11="Amortissable différé total"),Simulation!$F$24*12),IF(AND(B88&lt;=Simulation!$F$12,Simulation!$F$11="Amortissable différé total"),0,C87*Simulation!$F$8/12),0)</f>
        <v>155.95959306575821</v>
      </c>
      <c r="F88" s="114">
        <f>IF(B88&lt;=MIN(Simulation!$F$10*12+Simulation!$F$12*OR(Simulation!$F$11="Amortissable différé partiel",Simulation!$F$11="Amortissable différé total"),Simulation!$F$24*12),Simulation!$E$33*Simulation!$F$9/12,0)</f>
        <v>29.733333333333334</v>
      </c>
      <c r="G88" s="115">
        <f>IF(B88&lt;=MIN(Simulation!$F$10*12+Simulation!$F$12*OR(Simulation!$F$11="Amortissable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partiel",IF(B88&lt;=Simulation!$F$12,Simulation!$E$33*Simulation!$F$8/12,PMT(Simulation!$F$8/12,Simulation!$F$10*12,-Simulation!$E$34)),IF(Simulation!$F$11="Amortissable différé total",IF(B88&lt;=Simulation!$F$12,0,PMT(Simulation!$F$8/12,Simulation!$F$10*12,-Simulation!$E$34)),IF(Simulation!$F$11="In fine",IF(B88=Simulation!$F$10*12,Simulation!$E$34,Simulation!$F$8*Simulation!$E$34/12),0)))),0)</f>
        <v>860.8610094454034</v>
      </c>
      <c r="H88" s="113">
        <f>Simulation!$C$16/12*(1+Simulation!$F$15)^INT((B88-1)/12)*(B88&lt;=Simulation!$F$24*12)</f>
        <v>1061.5201506010001</v>
      </c>
      <c r="I88" s="114">
        <f>(Simulation!$F$22-VLOOKUP(Simulation!$C$27,'Comparatif fiscal'!$B$8:$E$17,4,FALSE)-C88)*(B88=Simulation!$F$24*12)</f>
        <v>0</v>
      </c>
      <c r="J88" s="114">
        <f>(Simulation!$C$21+Simulation!$C$22)/12*(1+Simulation!$F$17)^INT((B88-1)/12)*(B88&lt;=Simulation!$F$24*12)</f>
        <v>132.69001882512501</v>
      </c>
      <c r="K88" s="114">
        <f>(H88*Simulation!$C$24+Simulation!$C$23/12*(1+Simulation!$F$15)^INT((B88-1)/12))*(B88&lt;=Simulation!$F$24*12)</f>
        <v>109.69041556210335</v>
      </c>
      <c r="L88" s="114">
        <f>Simulation!$C$19/12*(1+Simulation!$F$18)^INT((B88-1)/12)*(B88&lt;=Simulation!$F$24*12)</f>
        <v>53.076007530050006</v>
      </c>
      <c r="M88" s="114">
        <f>(Simulation!$C$20/12*(1+Simulation!$F$19)^INT((B88-1)/12)+F88)*(B88&lt;=Simulation!$F$24*12)</f>
        <v>38.579334588341666</v>
      </c>
      <c r="N88" s="114">
        <f ca="1">SUMIF('Détail fiscalité'!$B$8:$B$37,INT(B88/12),'Détail fiscalité'!$CI$8:$CI$37)/12+SUMIF('Détail fiscalité'!$B$8:$B$37,B88/12,'Détail fiscalité'!$CI$8:$CI$37)-SUMIF('Détail fiscalité'!$B$8:$B$37,B88/12-1,'Détail fiscalité'!$CI$8:$CI$37)</f>
        <v>0</v>
      </c>
      <c r="O88" s="116">
        <f t="shared" ca="1" si="18"/>
        <v>-133.37663535002343</v>
      </c>
    </row>
    <row r="89" spans="2:15" x14ac:dyDescent="0.15">
      <c r="B89" s="40">
        <f t="shared" si="17"/>
        <v>82</v>
      </c>
      <c r="C89" s="113">
        <f>IF(B89&lt;=MIN(Simulation!$F$10*12+Simulation!$F$12*OR(Simulation!$F$11="Amortissable différé partiel",Simulation!$F$11="Amortissable différé total"),Simulation!$F$24*12),IF(AND(B89&lt;=Simulation!$F$12,OR(Simulation!$F$11="Amortissable différé partiel",Simulation!$F$11="Amortissable différé total")),C88*(1+(Simulation!$F$11="Amortissable différé total")*Simulation!$F$8/12),C88-D89),0)</f>
        <v>123356.99049307681</v>
      </c>
      <c r="D89" s="114">
        <f>IF(B89&lt;=MIN(Simulation!$F$10*12+Simulation!$F$12*OR(Simulation!$F$11="Amortissable différé partiel",Simulation!$F$11="Amortissable différé total"),Simulation!$F$24*12),G89-E89,0)</f>
        <v>705.78254315011975</v>
      </c>
      <c r="E89" s="114">
        <f>IF(B89&lt;=MIN(Simulation!$F$10*12+Simulation!$F$12*OR(Simulation!$F$11="Amortissable différé partiel",Simulation!$F$11="Amortissable différé total"),Simulation!$F$24*12),IF(AND(B89&lt;=Simulation!$F$12,Simulation!$F$11="Amortissable différé total"),0,C88*Simulation!$F$8/12),0)</f>
        <v>155.07846629528368</v>
      </c>
      <c r="F89" s="114">
        <f>IF(B89&lt;=MIN(Simulation!$F$10*12+Simulation!$F$12*OR(Simulation!$F$11="Amortissable différé partiel",Simulation!$F$11="Amortissable différé total"),Simulation!$F$24*12),Simulation!$E$33*Simulation!$F$9/12,0)</f>
        <v>29.733333333333334</v>
      </c>
      <c r="G89" s="115">
        <f>IF(B89&lt;=MIN(Simulation!$F$10*12+Simulation!$F$12*OR(Simulation!$F$11="Amortissable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partiel",IF(B89&lt;=Simulation!$F$12,Simulation!$E$33*Simulation!$F$8/12,PMT(Simulation!$F$8/12,Simulation!$F$10*12,-Simulation!$E$34)),IF(Simulation!$F$11="Amortissable différé total",IF(B89&lt;=Simulation!$F$12,0,PMT(Simulation!$F$8/12,Simulation!$F$10*12,-Simulation!$E$34)),IF(Simulation!$F$11="In fine",IF(B89=Simulation!$F$10*12,Simulation!$E$34,Simulation!$F$8*Simulation!$E$34/12),0)))),0)</f>
        <v>860.8610094454034</v>
      </c>
      <c r="H89" s="113">
        <f>Simulation!$C$16/12*(1+Simulation!$F$15)^INT((B89-1)/12)*(B89&lt;=Simulation!$F$24*12)</f>
        <v>1061.5201506010001</v>
      </c>
      <c r="I89" s="114">
        <f>(Simulation!$F$22-VLOOKUP(Simulation!$C$27,'Comparatif fiscal'!$B$8:$E$17,4,FALSE)-C89)*(B89=Simulation!$F$24*12)</f>
        <v>0</v>
      </c>
      <c r="J89" s="114">
        <f>(Simulation!$C$21+Simulation!$C$22)/12*(1+Simulation!$F$17)^INT((B89-1)/12)*(B89&lt;=Simulation!$F$24*12)</f>
        <v>132.69001882512501</v>
      </c>
      <c r="K89" s="114">
        <f>(H89*Simulation!$C$24+Simulation!$C$23/12*(1+Simulation!$F$15)^INT((B89-1)/12))*(B89&lt;=Simulation!$F$24*12)</f>
        <v>109.69041556210335</v>
      </c>
      <c r="L89" s="114">
        <f>Simulation!$C$19/12*(1+Simulation!$F$18)^INT((B89-1)/12)*(B89&lt;=Simulation!$F$24*12)</f>
        <v>53.076007530050006</v>
      </c>
      <c r="M89" s="114">
        <f>(Simulation!$C$20/12*(1+Simulation!$F$19)^INT((B89-1)/12)+F89)*(B89&lt;=Simulation!$F$24*12)</f>
        <v>38.579334588341666</v>
      </c>
      <c r="N89" s="114">
        <f ca="1">SUMIF('Détail fiscalité'!$B$8:$B$37,INT(B89/12),'Détail fiscalité'!$CI$8:$CI$37)/12+SUMIF('Détail fiscalité'!$B$8:$B$37,B89/12,'Détail fiscalité'!$CI$8:$CI$37)-SUMIF('Détail fiscalité'!$B$8:$B$37,B89/12-1,'Détail fiscalité'!$CI$8:$CI$37)</f>
        <v>0</v>
      </c>
      <c r="O89" s="116">
        <f t="shared" ca="1" si="18"/>
        <v>-133.37663535002343</v>
      </c>
    </row>
    <row r="90" spans="2:15" x14ac:dyDescent="0.15">
      <c r="B90" s="40">
        <f t="shared" si="17"/>
        <v>83</v>
      </c>
      <c r="C90" s="113">
        <f>IF(B90&lt;=MIN(Simulation!$F$10*12+Simulation!$F$12*OR(Simulation!$F$11="Amortissable différé partiel",Simulation!$F$11="Amortissable différé total"),Simulation!$F$24*12),IF(AND(B90&lt;=Simulation!$F$12,OR(Simulation!$F$11="Amortissable différé partiel",Simulation!$F$11="Amortissable différé total")),C89*(1+(Simulation!$F$11="Amortissable différé total")*Simulation!$F$8/12),C89-D90),0)</f>
        <v>122650.32572174775</v>
      </c>
      <c r="D90" s="114">
        <f>IF(B90&lt;=MIN(Simulation!$F$10*12+Simulation!$F$12*OR(Simulation!$F$11="Amortissable différé partiel",Simulation!$F$11="Amortissable différé total"),Simulation!$F$24*12),G90-E90,0)</f>
        <v>706.66477132905743</v>
      </c>
      <c r="E90" s="114">
        <f>IF(B90&lt;=MIN(Simulation!$F$10*12+Simulation!$F$12*OR(Simulation!$F$11="Amortissable différé partiel",Simulation!$F$11="Amortissable différé total"),Simulation!$F$24*12),IF(AND(B90&lt;=Simulation!$F$12,Simulation!$F$11="Amortissable différé total"),0,C89*Simulation!$F$8/12),0)</f>
        <v>154.196238116346</v>
      </c>
      <c r="F90" s="114">
        <f>IF(B90&lt;=MIN(Simulation!$F$10*12+Simulation!$F$12*OR(Simulation!$F$11="Amortissable différé partiel",Simulation!$F$11="Amortissable différé total"),Simulation!$F$24*12),Simulation!$E$33*Simulation!$F$9/12,0)</f>
        <v>29.733333333333334</v>
      </c>
      <c r="G90" s="115">
        <f>IF(B90&lt;=MIN(Simulation!$F$10*12+Simulation!$F$12*OR(Simulation!$F$11="Amortissable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partiel",IF(B90&lt;=Simulation!$F$12,Simulation!$E$33*Simulation!$F$8/12,PMT(Simulation!$F$8/12,Simulation!$F$10*12,-Simulation!$E$34)),IF(Simulation!$F$11="Amortissable différé total",IF(B90&lt;=Simulation!$F$12,0,PMT(Simulation!$F$8/12,Simulation!$F$10*12,-Simulation!$E$34)),IF(Simulation!$F$11="In fine",IF(B90=Simulation!$F$10*12,Simulation!$E$34,Simulation!$F$8*Simulation!$E$34/12),0)))),0)</f>
        <v>860.8610094454034</v>
      </c>
      <c r="H90" s="113">
        <f>Simulation!$C$16/12*(1+Simulation!$F$15)^INT((B90-1)/12)*(B90&lt;=Simulation!$F$24*12)</f>
        <v>1061.5201506010001</v>
      </c>
      <c r="I90" s="114">
        <f>(Simulation!$F$22-VLOOKUP(Simulation!$C$27,'Comparatif fiscal'!$B$8:$E$17,4,FALSE)-C90)*(B90=Simulation!$F$24*12)</f>
        <v>0</v>
      </c>
      <c r="J90" s="114">
        <f>(Simulation!$C$21+Simulation!$C$22)/12*(1+Simulation!$F$17)^INT((B90-1)/12)*(B90&lt;=Simulation!$F$24*12)</f>
        <v>132.69001882512501</v>
      </c>
      <c r="K90" s="114">
        <f>(H90*Simulation!$C$24+Simulation!$C$23/12*(1+Simulation!$F$15)^INT((B90-1)/12))*(B90&lt;=Simulation!$F$24*12)</f>
        <v>109.69041556210335</v>
      </c>
      <c r="L90" s="114">
        <f>Simulation!$C$19/12*(1+Simulation!$F$18)^INT((B90-1)/12)*(B90&lt;=Simulation!$F$24*12)</f>
        <v>53.076007530050006</v>
      </c>
      <c r="M90" s="114">
        <f>(Simulation!$C$20/12*(1+Simulation!$F$19)^INT((B90-1)/12)+F90)*(B90&lt;=Simulation!$F$24*12)</f>
        <v>38.579334588341666</v>
      </c>
      <c r="N90" s="114">
        <f ca="1">SUMIF('Détail fiscalité'!$B$8:$B$37,INT(B90/12),'Détail fiscalité'!$CI$8:$CI$37)/12+SUMIF('Détail fiscalité'!$B$8:$B$37,B90/12,'Détail fiscalité'!$CI$8:$CI$37)-SUMIF('Détail fiscalité'!$B$8:$B$37,B90/12-1,'Détail fiscalité'!$CI$8:$CI$37)</f>
        <v>0</v>
      </c>
      <c r="O90" s="116">
        <f t="shared" ca="1" si="18"/>
        <v>-133.37663535002343</v>
      </c>
    </row>
    <row r="91" spans="2:15" x14ac:dyDescent="0.15">
      <c r="B91" s="40">
        <f t="shared" si="17"/>
        <v>84</v>
      </c>
      <c r="C91" s="113">
        <f>IF(B91&lt;=MIN(Simulation!$F$10*12+Simulation!$F$12*OR(Simulation!$F$11="Amortissable différé partiel",Simulation!$F$11="Amortissable différé total"),Simulation!$F$24*12),IF(AND(B91&lt;=Simulation!$F$12,OR(Simulation!$F$11="Amortissable différé partiel",Simulation!$F$11="Amortissable différé total")),C90*(1+(Simulation!$F$11="Amortissable différé total")*Simulation!$F$8/12),C90-D91),0)</f>
        <v>121942.77761945453</v>
      </c>
      <c r="D91" s="114">
        <f>IF(B91&lt;=MIN(Simulation!$F$10*12+Simulation!$F$12*OR(Simulation!$F$11="Amortissable différé partiel",Simulation!$F$11="Amortissable différé total"),Simulation!$F$24*12),G91-E91,0)</f>
        <v>707.54810229321868</v>
      </c>
      <c r="E91" s="114">
        <f>IF(B91&lt;=MIN(Simulation!$F$10*12+Simulation!$F$12*OR(Simulation!$F$11="Amortissable différé partiel",Simulation!$F$11="Amortissable différé total"),Simulation!$F$24*12),IF(AND(B91&lt;=Simulation!$F$12,Simulation!$F$11="Amortissable différé total"),0,C90*Simulation!$F$8/12),0)</f>
        <v>153.31290715218469</v>
      </c>
      <c r="F91" s="114">
        <f>IF(B91&lt;=MIN(Simulation!$F$10*12+Simulation!$F$12*OR(Simulation!$F$11="Amortissable différé partiel",Simulation!$F$11="Amortissable différé total"),Simulation!$F$24*12),Simulation!$E$33*Simulation!$F$9/12,0)</f>
        <v>29.733333333333334</v>
      </c>
      <c r="G91" s="115">
        <f>IF(B91&lt;=MIN(Simulation!$F$10*12+Simulation!$F$12*OR(Simulation!$F$11="Amortissable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partiel",IF(B91&lt;=Simulation!$F$12,Simulation!$E$33*Simulation!$F$8/12,PMT(Simulation!$F$8/12,Simulation!$F$10*12,-Simulation!$E$34)),IF(Simulation!$F$11="Amortissable différé total",IF(B91&lt;=Simulation!$F$12,0,PMT(Simulation!$F$8/12,Simulation!$F$10*12,-Simulation!$E$34)),IF(Simulation!$F$11="In fine",IF(B91=Simulation!$F$10*12,Simulation!$E$34,Simulation!$F$8*Simulation!$E$34/12),0)))),0)</f>
        <v>860.8610094454034</v>
      </c>
      <c r="H91" s="113">
        <f>Simulation!$C$16/12*(1+Simulation!$F$15)^INT((B91-1)/12)*(B91&lt;=Simulation!$F$24*12)</f>
        <v>1061.5201506010001</v>
      </c>
      <c r="I91" s="114">
        <f>(Simulation!$F$22-VLOOKUP(Simulation!$C$27,'Comparatif fiscal'!$B$8:$E$17,4,FALSE)-C91)*(B91=Simulation!$F$24*12)</f>
        <v>0</v>
      </c>
      <c r="J91" s="114">
        <f>(Simulation!$C$21+Simulation!$C$22)/12*(1+Simulation!$F$17)^INT((B91-1)/12)*(B91&lt;=Simulation!$F$24*12)</f>
        <v>132.69001882512501</v>
      </c>
      <c r="K91" s="114">
        <f>(H91*Simulation!$C$24+Simulation!$C$23/12*(1+Simulation!$F$15)^INT((B91-1)/12))*(B91&lt;=Simulation!$F$24*12)</f>
        <v>109.69041556210335</v>
      </c>
      <c r="L91" s="114">
        <f>Simulation!$C$19/12*(1+Simulation!$F$18)^INT((B91-1)/12)*(B91&lt;=Simulation!$F$24*12)</f>
        <v>53.076007530050006</v>
      </c>
      <c r="M91" s="114">
        <f>(Simulation!$C$20/12*(1+Simulation!$F$19)^INT((B91-1)/12)+F91)*(B91&lt;=Simulation!$F$24*12)</f>
        <v>38.579334588341666</v>
      </c>
      <c r="N91" s="114">
        <f ca="1">SUMIF('Détail fiscalité'!$B$8:$B$37,INT(B91/12),'Détail fiscalité'!$CI$8:$CI$37)/12+SUMIF('Détail fiscalité'!$B$8:$B$37,B91/12,'Détail fiscalité'!$CI$8:$CI$37)-SUMIF('Détail fiscalité'!$B$8:$B$37,B91/12-1,'Détail fiscalité'!$CI$8:$CI$37)</f>
        <v>0</v>
      </c>
      <c r="O91" s="116">
        <f t="shared" ca="1" si="18"/>
        <v>-133.37663535002343</v>
      </c>
    </row>
    <row r="92" spans="2:15" x14ac:dyDescent="0.15">
      <c r="B92" s="40">
        <f t="shared" si="17"/>
        <v>85</v>
      </c>
      <c r="C92" s="113">
        <f>IF(B92&lt;=MIN(Simulation!$F$10*12+Simulation!$F$12*OR(Simulation!$F$11="Amortissable différé partiel",Simulation!$F$11="Amortissable différé total"),Simulation!$F$24*12),IF(AND(B92&lt;=Simulation!$F$12,OR(Simulation!$F$11="Amortissable différé partiel",Simulation!$F$11="Amortissable différé total")),C91*(1+(Simulation!$F$11="Amortissable différé total")*Simulation!$F$8/12),C91-D92),0)</f>
        <v>121234.34508203344</v>
      </c>
      <c r="D92" s="114">
        <f>IF(B92&lt;=MIN(Simulation!$F$10*12+Simulation!$F$12*OR(Simulation!$F$11="Amortissable différé partiel",Simulation!$F$11="Amortissable différé total"),Simulation!$F$24*12),G92-E92,0)</f>
        <v>708.43253742108527</v>
      </c>
      <c r="E92" s="114">
        <f>IF(B92&lt;=MIN(Simulation!$F$10*12+Simulation!$F$12*OR(Simulation!$F$11="Amortissable différé partiel",Simulation!$F$11="Amortissable différé total"),Simulation!$F$24*12),IF(AND(B92&lt;=Simulation!$F$12,Simulation!$F$11="Amortissable différé total"),0,C91*Simulation!$F$8/12),0)</f>
        <v>152.42847202431815</v>
      </c>
      <c r="F92" s="114">
        <f>IF(B92&lt;=MIN(Simulation!$F$10*12+Simulation!$F$12*OR(Simulation!$F$11="Amortissable différé partiel",Simulation!$F$11="Amortissable différé total"),Simulation!$F$24*12),Simulation!$E$33*Simulation!$F$9/12,0)</f>
        <v>29.733333333333334</v>
      </c>
      <c r="G92" s="115">
        <f>IF(B92&lt;=MIN(Simulation!$F$10*12+Simulation!$F$12*OR(Simulation!$F$11="Amortissable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partiel",IF(B92&lt;=Simulation!$F$12,Simulation!$E$33*Simulation!$F$8/12,PMT(Simulation!$F$8/12,Simulation!$F$10*12,-Simulation!$E$34)),IF(Simulation!$F$11="Amortissable différé total",IF(B92&lt;=Simulation!$F$12,0,PMT(Simulation!$F$8/12,Simulation!$F$10*12,-Simulation!$E$34)),IF(Simulation!$F$11="In fine",IF(B92=Simulation!$F$10*12,Simulation!$E$34,Simulation!$F$8*Simulation!$E$34/12),0)))),0)</f>
        <v>860.8610094454034</v>
      </c>
      <c r="H92" s="113">
        <f>Simulation!$C$16/12*(1+Simulation!$F$15)^INT((B92-1)/12)*(B92&lt;=Simulation!$F$24*12)</f>
        <v>1072.1353521070098</v>
      </c>
      <c r="I92" s="114">
        <f>(Simulation!$F$22-VLOOKUP(Simulation!$C$27,'Comparatif fiscal'!$B$8:$E$17,4,FALSE)-C92)*(B92=Simulation!$F$24*12)</f>
        <v>0</v>
      </c>
      <c r="J92" s="114">
        <f>(Simulation!$C$21+Simulation!$C$22)/12*(1+Simulation!$F$17)^INT((B92-1)/12)*(B92&lt;=Simulation!$F$24*12)</f>
        <v>134.01691901337622</v>
      </c>
      <c r="K92" s="114">
        <f>(H92*Simulation!$C$24+Simulation!$C$23/12*(1+Simulation!$F$15)^INT((B92-1)/12))*(B92&lt;=Simulation!$F$24*12)</f>
        <v>110.78731971772436</v>
      </c>
      <c r="L92" s="114">
        <f>Simulation!$C$19/12*(1+Simulation!$F$18)^INT((B92-1)/12)*(B92&lt;=Simulation!$F$24*12)</f>
        <v>53.606767605350491</v>
      </c>
      <c r="M92" s="114">
        <f>(Simulation!$C$20/12*(1+Simulation!$F$19)^INT((B92-1)/12)+F92)*(B92&lt;=Simulation!$F$24*12)</f>
        <v>38.667794600891753</v>
      </c>
      <c r="N92" s="114">
        <f ca="1">SUMIF('Détail fiscalité'!$B$8:$B$37,INT(B92/12),'Détail fiscalité'!$CI$8:$CI$37)/12+SUMIF('Détail fiscalité'!$B$8:$B$37,B92/12,'Détail fiscalité'!$CI$8:$CI$37)-SUMIF('Détail fiscalité'!$B$8:$B$37,B92/12-1,'Détail fiscalité'!$CI$8:$CI$37)</f>
        <v>0</v>
      </c>
      <c r="O92" s="116">
        <f t="shared" ca="1" si="18"/>
        <v>-125.80445827573658</v>
      </c>
    </row>
    <row r="93" spans="2:15" x14ac:dyDescent="0.15">
      <c r="B93" s="40">
        <f t="shared" si="17"/>
        <v>86</v>
      </c>
      <c r="C93" s="113">
        <f>IF(B93&lt;=MIN(Simulation!$F$10*12+Simulation!$F$12*OR(Simulation!$F$11="Amortissable différé partiel",Simulation!$F$11="Amortissable différé total"),Simulation!$F$24*12),IF(AND(B93&lt;=Simulation!$F$12,OR(Simulation!$F$11="Amortissable différé partiel",Simulation!$F$11="Amortissable différé total")),C92*(1+(Simulation!$F$11="Amortissable différé total")*Simulation!$F$8/12),C92-D93),0)</f>
        <v>120525.02700394057</v>
      </c>
      <c r="D93" s="114">
        <f>IF(B93&lt;=MIN(Simulation!$F$10*12+Simulation!$F$12*OR(Simulation!$F$11="Amortissable différé partiel",Simulation!$F$11="Amortissable différé total"),Simulation!$F$24*12),G93-E93,0)</f>
        <v>709.31807809286158</v>
      </c>
      <c r="E93" s="114">
        <f>IF(B93&lt;=MIN(Simulation!$F$10*12+Simulation!$F$12*OR(Simulation!$F$11="Amortissable différé partiel",Simulation!$F$11="Amortissable différé total"),Simulation!$F$24*12),IF(AND(B93&lt;=Simulation!$F$12,Simulation!$F$11="Amortissable différé total"),0,C92*Simulation!$F$8/12),0)</f>
        <v>151.54293135254179</v>
      </c>
      <c r="F93" s="114">
        <f>IF(B93&lt;=MIN(Simulation!$F$10*12+Simulation!$F$12*OR(Simulation!$F$11="Amortissable différé partiel",Simulation!$F$11="Amortissable différé total"),Simulation!$F$24*12),Simulation!$E$33*Simulation!$F$9/12,0)</f>
        <v>29.733333333333334</v>
      </c>
      <c r="G93" s="115">
        <f>IF(B93&lt;=MIN(Simulation!$F$10*12+Simulation!$F$12*OR(Simulation!$F$11="Amortissable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partiel",IF(B93&lt;=Simulation!$F$12,Simulation!$E$33*Simulation!$F$8/12,PMT(Simulation!$F$8/12,Simulation!$F$10*12,-Simulation!$E$34)),IF(Simulation!$F$11="Amortissable différé total",IF(B93&lt;=Simulation!$F$12,0,PMT(Simulation!$F$8/12,Simulation!$F$10*12,-Simulation!$E$34)),IF(Simulation!$F$11="In fine",IF(B93=Simulation!$F$10*12,Simulation!$E$34,Simulation!$F$8*Simulation!$E$34/12),0)))),0)</f>
        <v>860.8610094454034</v>
      </c>
      <c r="H93" s="113">
        <f>Simulation!$C$16/12*(1+Simulation!$F$15)^INT((B93-1)/12)*(B93&lt;=Simulation!$F$24*12)</f>
        <v>1072.1353521070098</v>
      </c>
      <c r="I93" s="114">
        <f>(Simulation!$F$22-VLOOKUP(Simulation!$C$27,'Comparatif fiscal'!$B$8:$E$17,4,FALSE)-C93)*(B93=Simulation!$F$24*12)</f>
        <v>0</v>
      </c>
      <c r="J93" s="114">
        <f>(Simulation!$C$21+Simulation!$C$22)/12*(1+Simulation!$F$17)^INT((B93-1)/12)*(B93&lt;=Simulation!$F$24*12)</f>
        <v>134.01691901337622</v>
      </c>
      <c r="K93" s="114">
        <f>(H93*Simulation!$C$24+Simulation!$C$23/12*(1+Simulation!$F$15)^INT((B93-1)/12))*(B93&lt;=Simulation!$F$24*12)</f>
        <v>110.78731971772436</v>
      </c>
      <c r="L93" s="114">
        <f>Simulation!$C$19/12*(1+Simulation!$F$18)^INT((B93-1)/12)*(B93&lt;=Simulation!$F$24*12)</f>
        <v>53.606767605350491</v>
      </c>
      <c r="M93" s="114">
        <f>(Simulation!$C$20/12*(1+Simulation!$F$19)^INT((B93-1)/12)+F93)*(B93&lt;=Simulation!$F$24*12)</f>
        <v>38.667794600891753</v>
      </c>
      <c r="N93" s="114">
        <f ca="1">SUMIF('Détail fiscalité'!$B$8:$B$37,INT(B93/12),'Détail fiscalité'!$CI$8:$CI$37)/12+SUMIF('Détail fiscalité'!$B$8:$B$37,B93/12,'Détail fiscalité'!$CI$8:$CI$37)-SUMIF('Détail fiscalité'!$B$8:$B$37,B93/12-1,'Détail fiscalité'!$CI$8:$CI$37)</f>
        <v>0</v>
      </c>
      <c r="O93" s="116">
        <f t="shared" ca="1" si="18"/>
        <v>-125.80445827573658</v>
      </c>
    </row>
    <row r="94" spans="2:15" x14ac:dyDescent="0.15">
      <c r="B94" s="40">
        <f t="shared" si="17"/>
        <v>87</v>
      </c>
      <c r="C94" s="113">
        <f>IF(B94&lt;=MIN(Simulation!$F$10*12+Simulation!$F$12*OR(Simulation!$F$11="Amortissable différé partiel",Simulation!$F$11="Amortissable différé total"),Simulation!$F$24*12),IF(AND(B94&lt;=Simulation!$F$12,OR(Simulation!$F$11="Amortissable différé partiel",Simulation!$F$11="Amortissable différé total")),C93*(1+(Simulation!$F$11="Amortissable différé total")*Simulation!$F$8/12),C93-D94),0)</f>
        <v>119814.8222782501</v>
      </c>
      <c r="D94" s="114">
        <f>IF(B94&lt;=MIN(Simulation!$F$10*12+Simulation!$F$12*OR(Simulation!$F$11="Amortissable différé partiel",Simulation!$F$11="Amortissable différé total"),Simulation!$F$24*12),G94-E94,0)</f>
        <v>710.20472569047774</v>
      </c>
      <c r="E94" s="114">
        <f>IF(B94&lt;=MIN(Simulation!$F$10*12+Simulation!$F$12*OR(Simulation!$F$11="Amortissable différé partiel",Simulation!$F$11="Amortissable différé total"),Simulation!$F$24*12),IF(AND(B94&lt;=Simulation!$F$12,Simulation!$F$11="Amortissable différé total"),0,C93*Simulation!$F$8/12),0)</f>
        <v>150.65628375492571</v>
      </c>
      <c r="F94" s="114">
        <f>IF(B94&lt;=MIN(Simulation!$F$10*12+Simulation!$F$12*OR(Simulation!$F$11="Amortissable différé partiel",Simulation!$F$11="Amortissable différé total"),Simulation!$F$24*12),Simulation!$E$33*Simulation!$F$9/12,0)</f>
        <v>29.733333333333334</v>
      </c>
      <c r="G94" s="115">
        <f>IF(B94&lt;=MIN(Simulation!$F$10*12+Simulation!$F$12*OR(Simulation!$F$11="Amortissable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partiel",IF(B94&lt;=Simulation!$F$12,Simulation!$E$33*Simulation!$F$8/12,PMT(Simulation!$F$8/12,Simulation!$F$10*12,-Simulation!$E$34)),IF(Simulation!$F$11="Amortissable différé total",IF(B94&lt;=Simulation!$F$12,0,PMT(Simulation!$F$8/12,Simulation!$F$10*12,-Simulation!$E$34)),IF(Simulation!$F$11="In fine",IF(B94=Simulation!$F$10*12,Simulation!$E$34,Simulation!$F$8*Simulation!$E$34/12),0)))),0)</f>
        <v>860.8610094454034</v>
      </c>
      <c r="H94" s="113">
        <f>Simulation!$C$16/12*(1+Simulation!$F$15)^INT((B94-1)/12)*(B94&lt;=Simulation!$F$24*12)</f>
        <v>1072.1353521070098</v>
      </c>
      <c r="I94" s="114">
        <f>(Simulation!$F$22-VLOOKUP(Simulation!$C$27,'Comparatif fiscal'!$B$8:$E$17,4,FALSE)-C94)*(B94=Simulation!$F$24*12)</f>
        <v>0</v>
      </c>
      <c r="J94" s="114">
        <f>(Simulation!$C$21+Simulation!$C$22)/12*(1+Simulation!$F$17)^INT((B94-1)/12)*(B94&lt;=Simulation!$F$24*12)</f>
        <v>134.01691901337622</v>
      </c>
      <c r="K94" s="114">
        <f>(H94*Simulation!$C$24+Simulation!$C$23/12*(1+Simulation!$F$15)^INT((B94-1)/12))*(B94&lt;=Simulation!$F$24*12)</f>
        <v>110.78731971772436</v>
      </c>
      <c r="L94" s="114">
        <f>Simulation!$C$19/12*(1+Simulation!$F$18)^INT((B94-1)/12)*(B94&lt;=Simulation!$F$24*12)</f>
        <v>53.606767605350491</v>
      </c>
      <c r="M94" s="114">
        <f>(Simulation!$C$20/12*(1+Simulation!$F$19)^INT((B94-1)/12)+F94)*(B94&lt;=Simulation!$F$24*12)</f>
        <v>38.667794600891753</v>
      </c>
      <c r="N94" s="114">
        <f ca="1">SUMIF('Détail fiscalité'!$B$8:$B$37,INT(B94/12),'Détail fiscalité'!$CI$8:$CI$37)/12+SUMIF('Détail fiscalité'!$B$8:$B$37,B94/12,'Détail fiscalité'!$CI$8:$CI$37)-SUMIF('Détail fiscalité'!$B$8:$B$37,B94/12-1,'Détail fiscalité'!$CI$8:$CI$37)</f>
        <v>0</v>
      </c>
      <c r="O94" s="116">
        <f t="shared" ca="1" si="18"/>
        <v>-125.80445827573658</v>
      </c>
    </row>
    <row r="95" spans="2:15" x14ac:dyDescent="0.15">
      <c r="B95" s="40">
        <f t="shared" si="17"/>
        <v>88</v>
      </c>
      <c r="C95" s="113">
        <f>IF(B95&lt;=MIN(Simulation!$F$10*12+Simulation!$F$12*OR(Simulation!$F$11="Amortissable différé partiel",Simulation!$F$11="Amortissable différé total"),Simulation!$F$24*12),IF(AND(B95&lt;=Simulation!$F$12,OR(Simulation!$F$11="Amortissable différé partiel",Simulation!$F$11="Amortissable différé total")),C94*(1+(Simulation!$F$11="Amortissable différé total")*Simulation!$F$8/12),C94-D95),0)</f>
        <v>119103.72979665251</v>
      </c>
      <c r="D95" s="114">
        <f>IF(B95&lt;=MIN(Simulation!$F$10*12+Simulation!$F$12*OR(Simulation!$F$11="Amortissable différé partiel",Simulation!$F$11="Amortissable différé total"),Simulation!$F$24*12),G95-E95,0)</f>
        <v>711.09248159759079</v>
      </c>
      <c r="E95" s="114">
        <f>IF(B95&lt;=MIN(Simulation!$F$10*12+Simulation!$F$12*OR(Simulation!$F$11="Amortissable différé partiel",Simulation!$F$11="Amortissable différé total"),Simulation!$F$24*12),IF(AND(B95&lt;=Simulation!$F$12,Simulation!$F$11="Amortissable différé total"),0,C94*Simulation!$F$8/12),0)</f>
        <v>149.76852784781261</v>
      </c>
      <c r="F95" s="114">
        <f>IF(B95&lt;=MIN(Simulation!$F$10*12+Simulation!$F$12*OR(Simulation!$F$11="Amortissable différé partiel",Simulation!$F$11="Amortissable différé total"),Simulation!$F$24*12),Simulation!$E$33*Simulation!$F$9/12,0)</f>
        <v>29.733333333333334</v>
      </c>
      <c r="G95" s="115">
        <f>IF(B95&lt;=MIN(Simulation!$F$10*12+Simulation!$F$12*OR(Simulation!$F$11="Amortissable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partiel",IF(B95&lt;=Simulation!$F$12,Simulation!$E$33*Simulation!$F$8/12,PMT(Simulation!$F$8/12,Simulation!$F$10*12,-Simulation!$E$34)),IF(Simulation!$F$11="Amortissable différé total",IF(B95&lt;=Simulation!$F$12,0,PMT(Simulation!$F$8/12,Simulation!$F$10*12,-Simulation!$E$34)),IF(Simulation!$F$11="In fine",IF(B95=Simulation!$F$10*12,Simulation!$E$34,Simulation!$F$8*Simulation!$E$34/12),0)))),0)</f>
        <v>860.8610094454034</v>
      </c>
      <c r="H95" s="113">
        <f>Simulation!$C$16/12*(1+Simulation!$F$15)^INT((B95-1)/12)*(B95&lt;=Simulation!$F$24*12)</f>
        <v>1072.1353521070098</v>
      </c>
      <c r="I95" s="114">
        <f>(Simulation!$F$22-VLOOKUP(Simulation!$C$27,'Comparatif fiscal'!$B$8:$E$17,4,FALSE)-C95)*(B95=Simulation!$F$24*12)</f>
        <v>0</v>
      </c>
      <c r="J95" s="114">
        <f>(Simulation!$C$21+Simulation!$C$22)/12*(1+Simulation!$F$17)^INT((B95-1)/12)*(B95&lt;=Simulation!$F$24*12)</f>
        <v>134.01691901337622</v>
      </c>
      <c r="K95" s="114">
        <f>(H95*Simulation!$C$24+Simulation!$C$23/12*(1+Simulation!$F$15)^INT((B95-1)/12))*(B95&lt;=Simulation!$F$24*12)</f>
        <v>110.78731971772436</v>
      </c>
      <c r="L95" s="114">
        <f>Simulation!$C$19/12*(1+Simulation!$F$18)^INT((B95-1)/12)*(B95&lt;=Simulation!$F$24*12)</f>
        <v>53.606767605350491</v>
      </c>
      <c r="M95" s="114">
        <f>(Simulation!$C$20/12*(1+Simulation!$F$19)^INT((B95-1)/12)+F95)*(B95&lt;=Simulation!$F$24*12)</f>
        <v>38.667794600891753</v>
      </c>
      <c r="N95" s="114">
        <f ca="1">SUMIF('Détail fiscalité'!$B$8:$B$37,INT(B95/12),'Détail fiscalité'!$CI$8:$CI$37)/12+SUMIF('Détail fiscalité'!$B$8:$B$37,B95/12,'Détail fiscalité'!$CI$8:$CI$37)-SUMIF('Détail fiscalité'!$B$8:$B$37,B95/12-1,'Détail fiscalité'!$CI$8:$CI$37)</f>
        <v>0</v>
      </c>
      <c r="O95" s="116">
        <f t="shared" ca="1" si="18"/>
        <v>-125.80445827573658</v>
      </c>
    </row>
    <row r="96" spans="2:15" x14ac:dyDescent="0.15">
      <c r="B96" s="40">
        <f t="shared" si="17"/>
        <v>89</v>
      </c>
      <c r="C96" s="113">
        <f>IF(B96&lt;=MIN(Simulation!$F$10*12+Simulation!$F$12*OR(Simulation!$F$11="Amortissable différé partiel",Simulation!$F$11="Amortissable différé total"),Simulation!$F$24*12),IF(AND(B96&lt;=Simulation!$F$12,OR(Simulation!$F$11="Amortissable différé partiel",Simulation!$F$11="Amortissable différé total")),C95*(1+(Simulation!$F$11="Amortissable différé total")*Simulation!$F$8/12),C95-D96),0)</f>
        <v>118391.74844945292</v>
      </c>
      <c r="D96" s="114">
        <f>IF(B96&lt;=MIN(Simulation!$F$10*12+Simulation!$F$12*OR(Simulation!$F$11="Amortissable différé partiel",Simulation!$F$11="Amortissable différé total"),Simulation!$F$24*12),G96-E96,0)</f>
        <v>711.98134719958773</v>
      </c>
      <c r="E96" s="114">
        <f>IF(B96&lt;=MIN(Simulation!$F$10*12+Simulation!$F$12*OR(Simulation!$F$11="Amortissable différé partiel",Simulation!$F$11="Amortissable différé total"),Simulation!$F$24*12),IF(AND(B96&lt;=Simulation!$F$12,Simulation!$F$11="Amortissable différé total"),0,C95*Simulation!$F$8/12),0)</f>
        <v>148.87966224581564</v>
      </c>
      <c r="F96" s="114">
        <f>IF(B96&lt;=MIN(Simulation!$F$10*12+Simulation!$F$12*OR(Simulation!$F$11="Amortissable différé partiel",Simulation!$F$11="Amortissable différé total"),Simulation!$F$24*12),Simulation!$E$33*Simulation!$F$9/12,0)</f>
        <v>29.733333333333334</v>
      </c>
      <c r="G96" s="115">
        <f>IF(B96&lt;=MIN(Simulation!$F$10*12+Simulation!$F$12*OR(Simulation!$F$11="Amortissable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partiel",IF(B96&lt;=Simulation!$F$12,Simulation!$E$33*Simulation!$F$8/12,PMT(Simulation!$F$8/12,Simulation!$F$10*12,-Simulation!$E$34)),IF(Simulation!$F$11="Amortissable différé total",IF(B96&lt;=Simulation!$F$12,0,PMT(Simulation!$F$8/12,Simulation!$F$10*12,-Simulation!$E$34)),IF(Simulation!$F$11="In fine",IF(B96=Simulation!$F$10*12,Simulation!$E$34,Simulation!$F$8*Simulation!$E$34/12),0)))),0)</f>
        <v>860.8610094454034</v>
      </c>
      <c r="H96" s="113">
        <f>Simulation!$C$16/12*(1+Simulation!$F$15)^INT((B96-1)/12)*(B96&lt;=Simulation!$F$24*12)</f>
        <v>1072.1353521070098</v>
      </c>
      <c r="I96" s="114">
        <f>(Simulation!$F$22-VLOOKUP(Simulation!$C$27,'Comparatif fiscal'!$B$8:$E$17,4,FALSE)-C96)*(B96=Simulation!$F$24*12)</f>
        <v>0</v>
      </c>
      <c r="J96" s="114">
        <f>(Simulation!$C$21+Simulation!$C$22)/12*(1+Simulation!$F$17)^INT((B96-1)/12)*(B96&lt;=Simulation!$F$24*12)</f>
        <v>134.01691901337622</v>
      </c>
      <c r="K96" s="114">
        <f>(H96*Simulation!$C$24+Simulation!$C$23/12*(1+Simulation!$F$15)^INT((B96-1)/12))*(B96&lt;=Simulation!$F$24*12)</f>
        <v>110.78731971772436</v>
      </c>
      <c r="L96" s="114">
        <f>Simulation!$C$19/12*(1+Simulation!$F$18)^INT((B96-1)/12)*(B96&lt;=Simulation!$F$24*12)</f>
        <v>53.606767605350491</v>
      </c>
      <c r="M96" s="114">
        <f>(Simulation!$C$20/12*(1+Simulation!$F$19)^INT((B96-1)/12)+F96)*(B96&lt;=Simulation!$F$24*12)</f>
        <v>38.667794600891753</v>
      </c>
      <c r="N96" s="114">
        <f ca="1">SUMIF('Détail fiscalité'!$B$8:$B$37,INT(B96/12),'Détail fiscalité'!$CI$8:$CI$37)/12+SUMIF('Détail fiscalité'!$B$8:$B$37,B96/12,'Détail fiscalité'!$CI$8:$CI$37)-SUMIF('Détail fiscalité'!$B$8:$B$37,B96/12-1,'Détail fiscalité'!$CI$8:$CI$37)</f>
        <v>0</v>
      </c>
      <c r="O96" s="116">
        <f t="shared" ca="1" si="18"/>
        <v>-125.80445827573658</v>
      </c>
    </row>
    <row r="97" spans="2:15" x14ac:dyDescent="0.15">
      <c r="B97" s="40">
        <f t="shared" si="17"/>
        <v>90</v>
      </c>
      <c r="C97" s="113">
        <f>IF(B97&lt;=MIN(Simulation!$F$10*12+Simulation!$F$12*OR(Simulation!$F$11="Amortissable différé partiel",Simulation!$F$11="Amortissable différé total"),Simulation!$F$24*12),IF(AND(B97&lt;=Simulation!$F$12,OR(Simulation!$F$11="Amortissable différé partiel",Simulation!$F$11="Amortissable différé total")),C96*(1+(Simulation!$F$11="Amortissable différé total")*Simulation!$F$8/12),C96-D97),0)</f>
        <v>117678.87712556933</v>
      </c>
      <c r="D97" s="114">
        <f>IF(B97&lt;=MIN(Simulation!$F$10*12+Simulation!$F$12*OR(Simulation!$F$11="Amortissable différé partiel",Simulation!$F$11="Amortissable différé total"),Simulation!$F$24*12),G97-E97,0)</f>
        <v>712.87132388358725</v>
      </c>
      <c r="E97" s="114">
        <f>IF(B97&lt;=MIN(Simulation!$F$10*12+Simulation!$F$12*OR(Simulation!$F$11="Amortissable différé partiel",Simulation!$F$11="Amortissable différé total"),Simulation!$F$24*12),IF(AND(B97&lt;=Simulation!$F$12,Simulation!$F$11="Amortissable différé total"),0,C96*Simulation!$F$8/12),0)</f>
        <v>147.98968556181615</v>
      </c>
      <c r="F97" s="114">
        <f>IF(B97&lt;=MIN(Simulation!$F$10*12+Simulation!$F$12*OR(Simulation!$F$11="Amortissable différé partiel",Simulation!$F$11="Amortissable différé total"),Simulation!$F$24*12),Simulation!$E$33*Simulation!$F$9/12,0)</f>
        <v>29.733333333333334</v>
      </c>
      <c r="G97" s="115">
        <f>IF(B97&lt;=MIN(Simulation!$F$10*12+Simulation!$F$12*OR(Simulation!$F$11="Amortissable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partiel",IF(B97&lt;=Simulation!$F$12,Simulation!$E$33*Simulation!$F$8/12,PMT(Simulation!$F$8/12,Simulation!$F$10*12,-Simulation!$E$34)),IF(Simulation!$F$11="Amortissable différé total",IF(B97&lt;=Simulation!$F$12,0,PMT(Simulation!$F$8/12,Simulation!$F$10*12,-Simulation!$E$34)),IF(Simulation!$F$11="In fine",IF(B97=Simulation!$F$10*12,Simulation!$E$34,Simulation!$F$8*Simulation!$E$34/12),0)))),0)</f>
        <v>860.8610094454034</v>
      </c>
      <c r="H97" s="113">
        <f>Simulation!$C$16/12*(1+Simulation!$F$15)^INT((B97-1)/12)*(B97&lt;=Simulation!$F$24*12)</f>
        <v>1072.1353521070098</v>
      </c>
      <c r="I97" s="114">
        <f>(Simulation!$F$22-VLOOKUP(Simulation!$C$27,'Comparatif fiscal'!$B$8:$E$17,4,FALSE)-C97)*(B97=Simulation!$F$24*12)</f>
        <v>0</v>
      </c>
      <c r="J97" s="114">
        <f>(Simulation!$C$21+Simulation!$C$22)/12*(1+Simulation!$F$17)^INT((B97-1)/12)*(B97&lt;=Simulation!$F$24*12)</f>
        <v>134.01691901337622</v>
      </c>
      <c r="K97" s="114">
        <f>(H97*Simulation!$C$24+Simulation!$C$23/12*(1+Simulation!$F$15)^INT((B97-1)/12))*(B97&lt;=Simulation!$F$24*12)</f>
        <v>110.78731971772436</v>
      </c>
      <c r="L97" s="114">
        <f>Simulation!$C$19/12*(1+Simulation!$F$18)^INT((B97-1)/12)*(B97&lt;=Simulation!$F$24*12)</f>
        <v>53.606767605350491</v>
      </c>
      <c r="M97" s="114">
        <f>(Simulation!$C$20/12*(1+Simulation!$F$19)^INT((B97-1)/12)+F97)*(B97&lt;=Simulation!$F$24*12)</f>
        <v>38.667794600891753</v>
      </c>
      <c r="N97" s="114">
        <f ca="1">SUMIF('Détail fiscalité'!$B$8:$B$37,INT(B97/12),'Détail fiscalité'!$CI$8:$CI$37)/12+SUMIF('Détail fiscalité'!$B$8:$B$37,B97/12,'Détail fiscalité'!$CI$8:$CI$37)-SUMIF('Détail fiscalité'!$B$8:$B$37,B97/12-1,'Détail fiscalité'!$CI$8:$CI$37)</f>
        <v>0</v>
      </c>
      <c r="O97" s="116">
        <f t="shared" ca="1" si="18"/>
        <v>-125.80445827573658</v>
      </c>
    </row>
    <row r="98" spans="2:15" x14ac:dyDescent="0.15">
      <c r="B98" s="40">
        <f t="shared" si="17"/>
        <v>91</v>
      </c>
      <c r="C98" s="113">
        <f>IF(B98&lt;=MIN(Simulation!$F$10*12+Simulation!$F$12*OR(Simulation!$F$11="Amortissable différé partiel",Simulation!$F$11="Amortissable différé total"),Simulation!$F$24*12),IF(AND(B98&lt;=Simulation!$F$12,OR(Simulation!$F$11="Amortissable différé partiel",Simulation!$F$11="Amortissable différé total")),C97*(1+(Simulation!$F$11="Amortissable différé total")*Simulation!$F$8/12),C97-D98),0)</f>
        <v>116965.11471253089</v>
      </c>
      <c r="D98" s="114">
        <f>IF(B98&lt;=MIN(Simulation!$F$10*12+Simulation!$F$12*OR(Simulation!$F$11="Amortissable différé partiel",Simulation!$F$11="Amortissable différé total"),Simulation!$F$24*12),G98-E98,0)</f>
        <v>713.76241303844176</v>
      </c>
      <c r="E98" s="114">
        <f>IF(B98&lt;=MIN(Simulation!$F$10*12+Simulation!$F$12*OR(Simulation!$F$11="Amortissable différé partiel",Simulation!$F$11="Amortissable différé total"),Simulation!$F$24*12),IF(AND(B98&lt;=Simulation!$F$12,Simulation!$F$11="Amortissable différé total"),0,C97*Simulation!$F$8/12),0)</f>
        <v>147.09859640696166</v>
      </c>
      <c r="F98" s="114">
        <f>IF(B98&lt;=MIN(Simulation!$F$10*12+Simulation!$F$12*OR(Simulation!$F$11="Amortissable différé partiel",Simulation!$F$11="Amortissable différé total"),Simulation!$F$24*12),Simulation!$E$33*Simulation!$F$9/12,0)</f>
        <v>29.733333333333334</v>
      </c>
      <c r="G98" s="115">
        <f>IF(B98&lt;=MIN(Simulation!$F$10*12+Simulation!$F$12*OR(Simulation!$F$11="Amortissable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partiel",IF(B98&lt;=Simulation!$F$12,Simulation!$E$33*Simulation!$F$8/12,PMT(Simulation!$F$8/12,Simulation!$F$10*12,-Simulation!$E$34)),IF(Simulation!$F$11="Amortissable différé total",IF(B98&lt;=Simulation!$F$12,0,PMT(Simulation!$F$8/12,Simulation!$F$10*12,-Simulation!$E$34)),IF(Simulation!$F$11="In fine",IF(B98=Simulation!$F$10*12,Simulation!$E$34,Simulation!$F$8*Simulation!$E$34/12),0)))),0)</f>
        <v>860.8610094454034</v>
      </c>
      <c r="H98" s="113">
        <f>Simulation!$C$16/12*(1+Simulation!$F$15)^INT((B98-1)/12)*(B98&lt;=Simulation!$F$24*12)</f>
        <v>1072.1353521070098</v>
      </c>
      <c r="I98" s="114">
        <f>(Simulation!$F$22-VLOOKUP(Simulation!$C$27,'Comparatif fiscal'!$B$8:$E$17,4,FALSE)-C98)*(B98=Simulation!$F$24*12)</f>
        <v>0</v>
      </c>
      <c r="J98" s="114">
        <f>(Simulation!$C$21+Simulation!$C$22)/12*(1+Simulation!$F$17)^INT((B98-1)/12)*(B98&lt;=Simulation!$F$24*12)</f>
        <v>134.01691901337622</v>
      </c>
      <c r="K98" s="114">
        <f>(H98*Simulation!$C$24+Simulation!$C$23/12*(1+Simulation!$F$15)^INT((B98-1)/12))*(B98&lt;=Simulation!$F$24*12)</f>
        <v>110.78731971772436</v>
      </c>
      <c r="L98" s="114">
        <f>Simulation!$C$19/12*(1+Simulation!$F$18)^INT((B98-1)/12)*(B98&lt;=Simulation!$F$24*12)</f>
        <v>53.606767605350491</v>
      </c>
      <c r="M98" s="114">
        <f>(Simulation!$C$20/12*(1+Simulation!$F$19)^INT((B98-1)/12)+F98)*(B98&lt;=Simulation!$F$24*12)</f>
        <v>38.667794600891753</v>
      </c>
      <c r="N98" s="114">
        <f ca="1">SUMIF('Détail fiscalité'!$B$8:$B$37,INT(B98/12),'Détail fiscalité'!$CI$8:$CI$37)/12+SUMIF('Détail fiscalité'!$B$8:$B$37,B98/12,'Détail fiscalité'!$CI$8:$CI$37)-SUMIF('Détail fiscalité'!$B$8:$B$37,B98/12-1,'Détail fiscalité'!$CI$8:$CI$37)</f>
        <v>0</v>
      </c>
      <c r="O98" s="116">
        <f t="shared" ca="1" si="18"/>
        <v>-125.80445827573658</v>
      </c>
    </row>
    <row r="99" spans="2:15" x14ac:dyDescent="0.15">
      <c r="B99" s="40">
        <f t="shared" si="17"/>
        <v>92</v>
      </c>
      <c r="C99" s="113">
        <f>IF(B99&lt;=MIN(Simulation!$F$10*12+Simulation!$F$12*OR(Simulation!$F$11="Amortissable différé partiel",Simulation!$F$11="Amortissable différé total"),Simulation!$F$24*12),IF(AND(B99&lt;=Simulation!$F$12,OR(Simulation!$F$11="Amortissable différé partiel",Simulation!$F$11="Amortissable différé total")),C98*(1+(Simulation!$F$11="Amortissable différé total")*Simulation!$F$8/12),C98-D99),0)</f>
        <v>116250.46009647615</v>
      </c>
      <c r="D99" s="114">
        <f>IF(B99&lt;=MIN(Simulation!$F$10*12+Simulation!$F$12*OR(Simulation!$F$11="Amortissable différé partiel",Simulation!$F$11="Amortissable différé total"),Simulation!$F$24*12),G99-E99,0)</f>
        <v>714.65461605473979</v>
      </c>
      <c r="E99" s="114">
        <f>IF(B99&lt;=MIN(Simulation!$F$10*12+Simulation!$F$12*OR(Simulation!$F$11="Amortissable différé partiel",Simulation!$F$11="Amortissable différé total"),Simulation!$F$24*12),IF(AND(B99&lt;=Simulation!$F$12,Simulation!$F$11="Amortissable différé total"),0,C98*Simulation!$F$8/12),0)</f>
        <v>146.20639339066361</v>
      </c>
      <c r="F99" s="114">
        <f>IF(B99&lt;=MIN(Simulation!$F$10*12+Simulation!$F$12*OR(Simulation!$F$11="Amortissable différé partiel",Simulation!$F$11="Amortissable différé total"),Simulation!$F$24*12),Simulation!$E$33*Simulation!$F$9/12,0)</f>
        <v>29.733333333333334</v>
      </c>
      <c r="G99" s="115">
        <f>IF(B99&lt;=MIN(Simulation!$F$10*12+Simulation!$F$12*OR(Simulation!$F$11="Amortissable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partiel",IF(B99&lt;=Simulation!$F$12,Simulation!$E$33*Simulation!$F$8/12,PMT(Simulation!$F$8/12,Simulation!$F$10*12,-Simulation!$E$34)),IF(Simulation!$F$11="Amortissable différé total",IF(B99&lt;=Simulation!$F$12,0,PMT(Simulation!$F$8/12,Simulation!$F$10*12,-Simulation!$E$34)),IF(Simulation!$F$11="In fine",IF(B99=Simulation!$F$10*12,Simulation!$E$34,Simulation!$F$8*Simulation!$E$34/12),0)))),0)</f>
        <v>860.8610094454034</v>
      </c>
      <c r="H99" s="113">
        <f>Simulation!$C$16/12*(1+Simulation!$F$15)^INT((B99-1)/12)*(B99&lt;=Simulation!$F$24*12)</f>
        <v>1072.1353521070098</v>
      </c>
      <c r="I99" s="114">
        <f>(Simulation!$F$22-VLOOKUP(Simulation!$C$27,'Comparatif fiscal'!$B$8:$E$17,4,FALSE)-C99)*(B99=Simulation!$F$24*12)</f>
        <v>0</v>
      </c>
      <c r="J99" s="114">
        <f>(Simulation!$C$21+Simulation!$C$22)/12*(1+Simulation!$F$17)^INT((B99-1)/12)*(B99&lt;=Simulation!$F$24*12)</f>
        <v>134.01691901337622</v>
      </c>
      <c r="K99" s="114">
        <f>(H99*Simulation!$C$24+Simulation!$C$23/12*(1+Simulation!$F$15)^INT((B99-1)/12))*(B99&lt;=Simulation!$F$24*12)</f>
        <v>110.78731971772436</v>
      </c>
      <c r="L99" s="114">
        <f>Simulation!$C$19/12*(1+Simulation!$F$18)^INT((B99-1)/12)*(B99&lt;=Simulation!$F$24*12)</f>
        <v>53.606767605350491</v>
      </c>
      <c r="M99" s="114">
        <f>(Simulation!$C$20/12*(1+Simulation!$F$19)^INT((B99-1)/12)+F99)*(B99&lt;=Simulation!$F$24*12)</f>
        <v>38.667794600891753</v>
      </c>
      <c r="N99" s="114">
        <f ca="1">SUMIF('Détail fiscalité'!$B$8:$B$37,INT(B99/12),'Détail fiscalité'!$CI$8:$CI$37)/12+SUMIF('Détail fiscalité'!$B$8:$B$37,B99/12,'Détail fiscalité'!$CI$8:$CI$37)-SUMIF('Détail fiscalité'!$B$8:$B$37,B99/12-1,'Détail fiscalité'!$CI$8:$CI$37)</f>
        <v>0</v>
      </c>
      <c r="O99" s="116">
        <f t="shared" ca="1" si="18"/>
        <v>-125.80445827573658</v>
      </c>
    </row>
    <row r="100" spans="2:15" x14ac:dyDescent="0.15">
      <c r="B100" s="40">
        <f t="shared" si="17"/>
        <v>93</v>
      </c>
      <c r="C100" s="113">
        <f>IF(B100&lt;=MIN(Simulation!$F$10*12+Simulation!$F$12*OR(Simulation!$F$11="Amortissable différé partiel",Simulation!$F$11="Amortissable différé total"),Simulation!$F$24*12),IF(AND(B100&lt;=Simulation!$F$12,OR(Simulation!$F$11="Amortissable différé partiel",Simulation!$F$11="Amortissable différé total")),C99*(1+(Simulation!$F$11="Amortissable différé total")*Simulation!$F$8/12),C99-D100),0)</f>
        <v>115534.91216215133</v>
      </c>
      <c r="D100" s="114">
        <f>IF(B100&lt;=MIN(Simulation!$F$10*12+Simulation!$F$12*OR(Simulation!$F$11="Amortissable différé partiel",Simulation!$F$11="Amortissable différé total"),Simulation!$F$24*12),G100-E100,0)</f>
        <v>715.54793432480824</v>
      </c>
      <c r="E100" s="114">
        <f>IF(B100&lt;=MIN(Simulation!$F$10*12+Simulation!$F$12*OR(Simulation!$F$11="Amortissable différé partiel",Simulation!$F$11="Amortissable différé total"),Simulation!$F$24*12),IF(AND(B100&lt;=Simulation!$F$12,Simulation!$F$11="Amortissable différé total"),0,C99*Simulation!$F$8/12),0)</f>
        <v>145.31307512059519</v>
      </c>
      <c r="F100" s="114">
        <f>IF(B100&lt;=MIN(Simulation!$F$10*12+Simulation!$F$12*OR(Simulation!$F$11="Amortissable différé partiel",Simulation!$F$11="Amortissable différé total"),Simulation!$F$24*12),Simulation!$E$33*Simulation!$F$9/12,0)</f>
        <v>29.733333333333334</v>
      </c>
      <c r="G100" s="115">
        <f>IF(B100&lt;=MIN(Simulation!$F$10*12+Simulation!$F$12*OR(Simulation!$F$11="Amortissable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partiel",IF(B100&lt;=Simulation!$F$12,Simulation!$E$33*Simulation!$F$8/12,PMT(Simulation!$F$8/12,Simulation!$F$10*12,-Simulation!$E$34)),IF(Simulation!$F$11="Amortissable différé total",IF(B100&lt;=Simulation!$F$12,0,PMT(Simulation!$F$8/12,Simulation!$F$10*12,-Simulation!$E$34)),IF(Simulation!$F$11="In fine",IF(B100=Simulation!$F$10*12,Simulation!$E$34,Simulation!$F$8*Simulation!$E$34/12),0)))),0)</f>
        <v>860.8610094454034</v>
      </c>
      <c r="H100" s="113">
        <f>Simulation!$C$16/12*(1+Simulation!$F$15)^INT((B100-1)/12)*(B100&lt;=Simulation!$F$24*12)</f>
        <v>1072.1353521070098</v>
      </c>
      <c r="I100" s="114">
        <f>(Simulation!$F$22-VLOOKUP(Simulation!$C$27,'Comparatif fiscal'!$B$8:$E$17,4,FALSE)-C100)*(B100=Simulation!$F$24*12)</f>
        <v>0</v>
      </c>
      <c r="J100" s="114">
        <f>(Simulation!$C$21+Simulation!$C$22)/12*(1+Simulation!$F$17)^INT((B100-1)/12)*(B100&lt;=Simulation!$F$24*12)</f>
        <v>134.01691901337622</v>
      </c>
      <c r="K100" s="114">
        <f>(H100*Simulation!$C$24+Simulation!$C$23/12*(1+Simulation!$F$15)^INT((B100-1)/12))*(B100&lt;=Simulation!$F$24*12)</f>
        <v>110.78731971772436</v>
      </c>
      <c r="L100" s="114">
        <f>Simulation!$C$19/12*(1+Simulation!$F$18)^INT((B100-1)/12)*(B100&lt;=Simulation!$F$24*12)</f>
        <v>53.606767605350491</v>
      </c>
      <c r="M100" s="114">
        <f>(Simulation!$C$20/12*(1+Simulation!$F$19)^INT((B100-1)/12)+F100)*(B100&lt;=Simulation!$F$24*12)</f>
        <v>38.667794600891753</v>
      </c>
      <c r="N100" s="114">
        <f ca="1">SUMIF('Détail fiscalité'!$B$8:$B$37,INT(B100/12),'Détail fiscalité'!$CI$8:$CI$37)/12+SUMIF('Détail fiscalité'!$B$8:$B$37,B100/12,'Détail fiscalité'!$CI$8:$CI$37)-SUMIF('Détail fiscalité'!$B$8:$B$37,B100/12-1,'Détail fiscalité'!$CI$8:$CI$37)</f>
        <v>0</v>
      </c>
      <c r="O100" s="116">
        <f t="shared" ca="1" si="18"/>
        <v>-125.80445827573658</v>
      </c>
    </row>
    <row r="101" spans="2:15" x14ac:dyDescent="0.15">
      <c r="B101" s="40">
        <f t="shared" si="17"/>
        <v>94</v>
      </c>
      <c r="C101" s="113">
        <f>IF(B101&lt;=MIN(Simulation!$F$10*12+Simulation!$F$12*OR(Simulation!$F$11="Amortissable différé partiel",Simulation!$F$11="Amortissable différé total"),Simulation!$F$24*12),IF(AND(B101&lt;=Simulation!$F$12,OR(Simulation!$F$11="Amortissable différé partiel",Simulation!$F$11="Amortissable différé total")),C100*(1+(Simulation!$F$11="Amortissable différé total")*Simulation!$F$8/12),C100-D101),0)</f>
        <v>114818.46979290863</v>
      </c>
      <c r="D101" s="114">
        <f>IF(B101&lt;=MIN(Simulation!$F$10*12+Simulation!$F$12*OR(Simulation!$F$11="Amortissable différé partiel",Simulation!$F$11="Amortissable différé total"),Simulation!$F$24*12),G101-E101,0)</f>
        <v>716.44236924271422</v>
      </c>
      <c r="E101" s="114">
        <f>IF(B101&lt;=MIN(Simulation!$F$10*12+Simulation!$F$12*OR(Simulation!$F$11="Amortissable différé partiel",Simulation!$F$11="Amortissable différé total"),Simulation!$F$24*12),IF(AND(B101&lt;=Simulation!$F$12,Simulation!$F$11="Amortissable différé total"),0,C100*Simulation!$F$8/12),0)</f>
        <v>144.41864020268915</v>
      </c>
      <c r="F101" s="114">
        <f>IF(B101&lt;=MIN(Simulation!$F$10*12+Simulation!$F$12*OR(Simulation!$F$11="Amortissable différé partiel",Simulation!$F$11="Amortissable différé total"),Simulation!$F$24*12),Simulation!$E$33*Simulation!$F$9/12,0)</f>
        <v>29.733333333333334</v>
      </c>
      <c r="G101" s="115">
        <f>IF(B101&lt;=MIN(Simulation!$F$10*12+Simulation!$F$12*OR(Simulation!$F$11="Amortissable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partiel",IF(B101&lt;=Simulation!$F$12,Simulation!$E$33*Simulation!$F$8/12,PMT(Simulation!$F$8/12,Simulation!$F$10*12,-Simulation!$E$34)),IF(Simulation!$F$11="Amortissable différé total",IF(B101&lt;=Simulation!$F$12,0,PMT(Simulation!$F$8/12,Simulation!$F$10*12,-Simulation!$E$34)),IF(Simulation!$F$11="In fine",IF(B101=Simulation!$F$10*12,Simulation!$E$34,Simulation!$F$8*Simulation!$E$34/12),0)))),0)</f>
        <v>860.8610094454034</v>
      </c>
      <c r="H101" s="113">
        <f>Simulation!$C$16/12*(1+Simulation!$F$15)^INT((B101-1)/12)*(B101&lt;=Simulation!$F$24*12)</f>
        <v>1072.1353521070098</v>
      </c>
      <c r="I101" s="114">
        <f>(Simulation!$F$22-VLOOKUP(Simulation!$C$27,'Comparatif fiscal'!$B$8:$E$17,4,FALSE)-C101)*(B101=Simulation!$F$24*12)</f>
        <v>0</v>
      </c>
      <c r="J101" s="114">
        <f>(Simulation!$C$21+Simulation!$C$22)/12*(1+Simulation!$F$17)^INT((B101-1)/12)*(B101&lt;=Simulation!$F$24*12)</f>
        <v>134.01691901337622</v>
      </c>
      <c r="K101" s="114">
        <f>(H101*Simulation!$C$24+Simulation!$C$23/12*(1+Simulation!$F$15)^INT((B101-1)/12))*(B101&lt;=Simulation!$F$24*12)</f>
        <v>110.78731971772436</v>
      </c>
      <c r="L101" s="114">
        <f>Simulation!$C$19/12*(1+Simulation!$F$18)^INT((B101-1)/12)*(B101&lt;=Simulation!$F$24*12)</f>
        <v>53.606767605350491</v>
      </c>
      <c r="M101" s="114">
        <f>(Simulation!$C$20/12*(1+Simulation!$F$19)^INT((B101-1)/12)+F101)*(B101&lt;=Simulation!$F$24*12)</f>
        <v>38.667794600891753</v>
      </c>
      <c r="N101" s="114">
        <f ca="1">SUMIF('Détail fiscalité'!$B$8:$B$37,INT(B101/12),'Détail fiscalité'!$CI$8:$CI$37)/12+SUMIF('Détail fiscalité'!$B$8:$B$37,B101/12,'Détail fiscalité'!$CI$8:$CI$37)-SUMIF('Détail fiscalité'!$B$8:$B$37,B101/12-1,'Détail fiscalité'!$CI$8:$CI$37)</f>
        <v>0</v>
      </c>
      <c r="O101" s="116">
        <f t="shared" ca="1" si="18"/>
        <v>-125.80445827573658</v>
      </c>
    </row>
    <row r="102" spans="2:15" x14ac:dyDescent="0.15">
      <c r="B102" s="40">
        <f t="shared" si="17"/>
        <v>95</v>
      </c>
      <c r="C102" s="113">
        <f>IF(B102&lt;=MIN(Simulation!$F$10*12+Simulation!$F$12*OR(Simulation!$F$11="Amortissable différé partiel",Simulation!$F$11="Amortissable différé total"),Simulation!$F$24*12),IF(AND(B102&lt;=Simulation!$F$12,OR(Simulation!$F$11="Amortissable différé partiel",Simulation!$F$11="Amortissable différé total")),C101*(1+(Simulation!$F$11="Amortissable différé total")*Simulation!$F$8/12),C101-D102),0)</f>
        <v>114101.13187070435</v>
      </c>
      <c r="D102" s="114">
        <f>IF(B102&lt;=MIN(Simulation!$F$10*12+Simulation!$F$12*OR(Simulation!$F$11="Amortissable différé partiel",Simulation!$F$11="Amortissable différé total"),Simulation!$F$24*12),G102-E102,0)</f>
        <v>717.33792220426767</v>
      </c>
      <c r="E102" s="114">
        <f>IF(B102&lt;=MIN(Simulation!$F$10*12+Simulation!$F$12*OR(Simulation!$F$11="Amortissable différé partiel",Simulation!$F$11="Amortissable différé total"),Simulation!$F$24*12),IF(AND(B102&lt;=Simulation!$F$12,Simulation!$F$11="Amortissable différé total"),0,C101*Simulation!$F$8/12),0)</f>
        <v>143.52308724113578</v>
      </c>
      <c r="F102" s="114">
        <f>IF(B102&lt;=MIN(Simulation!$F$10*12+Simulation!$F$12*OR(Simulation!$F$11="Amortissable différé partiel",Simulation!$F$11="Amortissable différé total"),Simulation!$F$24*12),Simulation!$E$33*Simulation!$F$9/12,0)</f>
        <v>29.733333333333334</v>
      </c>
      <c r="G102" s="115">
        <f>IF(B102&lt;=MIN(Simulation!$F$10*12+Simulation!$F$12*OR(Simulation!$F$11="Amortissable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partiel",IF(B102&lt;=Simulation!$F$12,Simulation!$E$33*Simulation!$F$8/12,PMT(Simulation!$F$8/12,Simulation!$F$10*12,-Simulation!$E$34)),IF(Simulation!$F$11="Amortissable différé total",IF(B102&lt;=Simulation!$F$12,0,PMT(Simulation!$F$8/12,Simulation!$F$10*12,-Simulation!$E$34)),IF(Simulation!$F$11="In fine",IF(B102=Simulation!$F$10*12,Simulation!$E$34,Simulation!$F$8*Simulation!$E$34/12),0)))),0)</f>
        <v>860.8610094454034</v>
      </c>
      <c r="H102" s="113">
        <f>Simulation!$C$16/12*(1+Simulation!$F$15)^INT((B102-1)/12)*(B102&lt;=Simulation!$F$24*12)</f>
        <v>1072.1353521070098</v>
      </c>
      <c r="I102" s="114">
        <f>(Simulation!$F$22-VLOOKUP(Simulation!$C$27,'Comparatif fiscal'!$B$8:$E$17,4,FALSE)-C102)*(B102=Simulation!$F$24*12)</f>
        <v>0</v>
      </c>
      <c r="J102" s="114">
        <f>(Simulation!$C$21+Simulation!$C$22)/12*(1+Simulation!$F$17)^INT((B102-1)/12)*(B102&lt;=Simulation!$F$24*12)</f>
        <v>134.01691901337622</v>
      </c>
      <c r="K102" s="114">
        <f>(H102*Simulation!$C$24+Simulation!$C$23/12*(1+Simulation!$F$15)^INT((B102-1)/12))*(B102&lt;=Simulation!$F$24*12)</f>
        <v>110.78731971772436</v>
      </c>
      <c r="L102" s="114">
        <f>Simulation!$C$19/12*(1+Simulation!$F$18)^INT((B102-1)/12)*(B102&lt;=Simulation!$F$24*12)</f>
        <v>53.606767605350491</v>
      </c>
      <c r="M102" s="114">
        <f>(Simulation!$C$20/12*(1+Simulation!$F$19)^INT((B102-1)/12)+F102)*(B102&lt;=Simulation!$F$24*12)</f>
        <v>38.667794600891753</v>
      </c>
      <c r="N102" s="114">
        <f ca="1">SUMIF('Détail fiscalité'!$B$8:$B$37,INT(B102/12),'Détail fiscalité'!$CI$8:$CI$37)/12+SUMIF('Détail fiscalité'!$B$8:$B$37,B102/12,'Détail fiscalité'!$CI$8:$CI$37)-SUMIF('Détail fiscalité'!$B$8:$B$37,B102/12-1,'Détail fiscalité'!$CI$8:$CI$37)</f>
        <v>0</v>
      </c>
      <c r="O102" s="116">
        <f t="shared" ca="1" si="18"/>
        <v>-125.80445827573658</v>
      </c>
    </row>
    <row r="103" spans="2:15" x14ac:dyDescent="0.15">
      <c r="B103" s="40">
        <f t="shared" si="17"/>
        <v>96</v>
      </c>
      <c r="C103" s="113">
        <f>IF(B103&lt;=MIN(Simulation!$F$10*12+Simulation!$F$12*OR(Simulation!$F$11="Amortissable différé partiel",Simulation!$F$11="Amortissable différé total"),Simulation!$F$24*12),IF(AND(B103&lt;=Simulation!$F$12,OR(Simulation!$F$11="Amortissable différé partiel",Simulation!$F$11="Amortissable différé total")),C102*(1+(Simulation!$F$11="Amortissable différé total")*Simulation!$F$8/12),C102-D103),0)</f>
        <v>113382.89727609733</v>
      </c>
      <c r="D103" s="114">
        <f>IF(B103&lt;=MIN(Simulation!$F$10*12+Simulation!$F$12*OR(Simulation!$F$11="Amortissable différé partiel",Simulation!$F$11="Amortissable différé total"),Simulation!$F$24*12),G103-E103,0)</f>
        <v>718.23459460702293</v>
      </c>
      <c r="E103" s="114">
        <f>IF(B103&lt;=MIN(Simulation!$F$10*12+Simulation!$F$12*OR(Simulation!$F$11="Amortissable différé partiel",Simulation!$F$11="Amortissable différé total"),Simulation!$F$24*12),IF(AND(B103&lt;=Simulation!$F$12,Simulation!$F$11="Amortissable différé total"),0,C102*Simulation!$F$8/12),0)</f>
        <v>142.62641483838044</v>
      </c>
      <c r="F103" s="114">
        <f>IF(B103&lt;=MIN(Simulation!$F$10*12+Simulation!$F$12*OR(Simulation!$F$11="Amortissable différé partiel",Simulation!$F$11="Amortissable différé total"),Simulation!$F$24*12),Simulation!$E$33*Simulation!$F$9/12,0)</f>
        <v>29.733333333333334</v>
      </c>
      <c r="G103" s="115">
        <f>IF(B103&lt;=MIN(Simulation!$F$10*12+Simulation!$F$12*OR(Simulation!$F$11="Amortissable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partiel",IF(B103&lt;=Simulation!$F$12,Simulation!$E$33*Simulation!$F$8/12,PMT(Simulation!$F$8/12,Simulation!$F$10*12,-Simulation!$E$34)),IF(Simulation!$F$11="Amortissable différé total",IF(B103&lt;=Simulation!$F$12,0,PMT(Simulation!$F$8/12,Simulation!$F$10*12,-Simulation!$E$34)),IF(Simulation!$F$11="In fine",IF(B103=Simulation!$F$10*12,Simulation!$E$34,Simulation!$F$8*Simulation!$E$34/12),0)))),0)</f>
        <v>860.8610094454034</v>
      </c>
      <c r="H103" s="113">
        <f>Simulation!$C$16/12*(1+Simulation!$F$15)^INT((B103-1)/12)*(B103&lt;=Simulation!$F$24*12)</f>
        <v>1072.1353521070098</v>
      </c>
      <c r="I103" s="114">
        <f>(Simulation!$F$22-VLOOKUP(Simulation!$C$27,'Comparatif fiscal'!$B$8:$E$17,4,FALSE)-C103)*(B103=Simulation!$F$24*12)</f>
        <v>0</v>
      </c>
      <c r="J103" s="114">
        <f>(Simulation!$C$21+Simulation!$C$22)/12*(1+Simulation!$F$17)^INT((B103-1)/12)*(B103&lt;=Simulation!$F$24*12)</f>
        <v>134.01691901337622</v>
      </c>
      <c r="K103" s="114">
        <f>(H103*Simulation!$C$24+Simulation!$C$23/12*(1+Simulation!$F$15)^INT((B103-1)/12))*(B103&lt;=Simulation!$F$24*12)</f>
        <v>110.78731971772436</v>
      </c>
      <c r="L103" s="114">
        <f>Simulation!$C$19/12*(1+Simulation!$F$18)^INT((B103-1)/12)*(B103&lt;=Simulation!$F$24*12)</f>
        <v>53.606767605350491</v>
      </c>
      <c r="M103" s="114">
        <f>(Simulation!$C$20/12*(1+Simulation!$F$19)^INT((B103-1)/12)+F103)*(B103&lt;=Simulation!$F$24*12)</f>
        <v>38.667794600891753</v>
      </c>
      <c r="N103" s="114">
        <f ca="1">SUMIF('Détail fiscalité'!$B$8:$B$37,INT(B103/12),'Détail fiscalité'!$CI$8:$CI$37)/12+SUMIF('Détail fiscalité'!$B$8:$B$37,B103/12,'Détail fiscalité'!$CI$8:$CI$37)-SUMIF('Détail fiscalité'!$B$8:$B$37,B103/12-1,'Détail fiscalité'!$CI$8:$CI$37)</f>
        <v>0</v>
      </c>
      <c r="O103" s="116">
        <f t="shared" ca="1" si="18"/>
        <v>-125.80445827573658</v>
      </c>
    </row>
    <row r="104" spans="2:15" x14ac:dyDescent="0.15">
      <c r="B104" s="40">
        <f t="shared" si="17"/>
        <v>97</v>
      </c>
      <c r="C104" s="113">
        <f>IF(B104&lt;=MIN(Simulation!$F$10*12+Simulation!$F$12*OR(Simulation!$F$11="Amortissable différé partiel",Simulation!$F$11="Amortissable différé total"),Simulation!$F$24*12),IF(AND(B104&lt;=Simulation!$F$12,OR(Simulation!$F$11="Amortissable différé partiel",Simulation!$F$11="Amortissable différé total")),C103*(1+(Simulation!$F$11="Amortissable différé total")*Simulation!$F$8/12),C103-D104),0)</f>
        <v>112663.76488824704</v>
      </c>
      <c r="D104" s="114">
        <f>IF(B104&lt;=MIN(Simulation!$F$10*12+Simulation!$F$12*OR(Simulation!$F$11="Amortissable différé partiel",Simulation!$F$11="Amortissable différé total"),Simulation!$F$24*12),G104-E104,0)</f>
        <v>719.1323878502817</v>
      </c>
      <c r="E104" s="114">
        <f>IF(B104&lt;=MIN(Simulation!$F$10*12+Simulation!$F$12*OR(Simulation!$F$11="Amortissable différé partiel",Simulation!$F$11="Amortissable différé total"),Simulation!$F$24*12),IF(AND(B104&lt;=Simulation!$F$12,Simulation!$F$11="Amortissable différé total"),0,C103*Simulation!$F$8/12),0)</f>
        <v>141.72862159512167</v>
      </c>
      <c r="F104" s="114">
        <f>IF(B104&lt;=MIN(Simulation!$F$10*12+Simulation!$F$12*OR(Simulation!$F$11="Amortissable différé partiel",Simulation!$F$11="Amortissable différé total"),Simulation!$F$24*12),Simulation!$E$33*Simulation!$F$9/12,0)</f>
        <v>29.733333333333334</v>
      </c>
      <c r="G104" s="115">
        <f>IF(B104&lt;=MIN(Simulation!$F$10*12+Simulation!$F$12*OR(Simulation!$F$11="Amortissable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partiel",IF(B104&lt;=Simulation!$F$12,Simulation!$E$33*Simulation!$F$8/12,PMT(Simulation!$F$8/12,Simulation!$F$10*12,-Simulation!$E$34)),IF(Simulation!$F$11="Amortissable différé total",IF(B104&lt;=Simulation!$F$12,0,PMT(Simulation!$F$8/12,Simulation!$F$10*12,-Simulation!$E$34)),IF(Simulation!$F$11="In fine",IF(B104=Simulation!$F$10*12,Simulation!$E$34,Simulation!$F$8*Simulation!$E$34/12),0)))),0)</f>
        <v>860.8610094454034</v>
      </c>
      <c r="H104" s="113">
        <f>Simulation!$C$16/12*(1+Simulation!$F$15)^INT((B104-1)/12)*(B104&lt;=Simulation!$F$24*12)</f>
        <v>1082.8567056280801</v>
      </c>
      <c r="I104" s="114">
        <f>(Simulation!$F$22-VLOOKUP(Simulation!$C$27,'Comparatif fiscal'!$B$8:$E$17,4,FALSE)-C104)*(B104=Simulation!$F$24*12)</f>
        <v>0</v>
      </c>
      <c r="J104" s="114">
        <f>(Simulation!$C$21+Simulation!$C$22)/12*(1+Simulation!$F$17)^INT((B104-1)/12)*(B104&lt;=Simulation!$F$24*12)</f>
        <v>135.35708820351002</v>
      </c>
      <c r="K104" s="114">
        <f>(H104*Simulation!$C$24+Simulation!$C$23/12*(1+Simulation!$F$15)^INT((B104-1)/12))*(B104&lt;=Simulation!$F$24*12)</f>
        <v>111.89519291490163</v>
      </c>
      <c r="L104" s="114">
        <f>Simulation!$C$19/12*(1+Simulation!$F$18)^INT((B104-1)/12)*(B104&lt;=Simulation!$F$24*12)</f>
        <v>54.142835281404011</v>
      </c>
      <c r="M104" s="114">
        <f>(Simulation!$C$20/12*(1+Simulation!$F$19)^INT((B104-1)/12)+F104)*(B104&lt;=Simulation!$F$24*12)</f>
        <v>38.757139213567335</v>
      </c>
      <c r="N104" s="114">
        <f ca="1">SUMIF('Détail fiscalité'!$B$8:$B$37,INT(B104/12),'Détail fiscalité'!$CI$8:$CI$37)/12+SUMIF('Détail fiscalité'!$B$8:$B$37,B104/12,'Détail fiscalité'!$CI$8:$CI$37)-SUMIF('Détail fiscalité'!$B$8:$B$37,B104/12-1,'Détail fiscalité'!$CI$8:$CI$37)</f>
        <v>0</v>
      </c>
      <c r="O104" s="116">
        <f t="shared" ca="1" si="18"/>
        <v>-118.15655943070624</v>
      </c>
    </row>
    <row r="105" spans="2:15" x14ac:dyDescent="0.15">
      <c r="B105" s="40">
        <f t="shared" si="17"/>
        <v>98</v>
      </c>
      <c r="C105" s="113">
        <f>IF(B105&lt;=MIN(Simulation!$F$10*12+Simulation!$F$12*OR(Simulation!$F$11="Amortissable différé partiel",Simulation!$F$11="Amortissable différé total"),Simulation!$F$24*12),IF(AND(B105&lt;=Simulation!$F$12,OR(Simulation!$F$11="Amortissable différé partiel",Simulation!$F$11="Amortissable différé total")),C104*(1+(Simulation!$F$11="Amortissable différé total")*Simulation!$F$8/12),C104-D105),0)</f>
        <v>111943.73358491194</v>
      </c>
      <c r="D105" s="114">
        <f>IF(B105&lt;=MIN(Simulation!$F$10*12+Simulation!$F$12*OR(Simulation!$F$11="Amortissable différé partiel",Simulation!$F$11="Amortissable différé total"),Simulation!$F$24*12),G105-E105,0)</f>
        <v>720.03130333509466</v>
      </c>
      <c r="E105" s="114">
        <f>IF(B105&lt;=MIN(Simulation!$F$10*12+Simulation!$F$12*OR(Simulation!$F$11="Amortissable différé partiel",Simulation!$F$11="Amortissable différé total"),Simulation!$F$24*12),IF(AND(B105&lt;=Simulation!$F$12,Simulation!$F$11="Amortissable différé total"),0,C104*Simulation!$F$8/12),0)</f>
        <v>140.82970611030879</v>
      </c>
      <c r="F105" s="114">
        <f>IF(B105&lt;=MIN(Simulation!$F$10*12+Simulation!$F$12*OR(Simulation!$F$11="Amortissable différé partiel",Simulation!$F$11="Amortissable différé total"),Simulation!$F$24*12),Simulation!$E$33*Simulation!$F$9/12,0)</f>
        <v>29.733333333333334</v>
      </c>
      <c r="G105" s="115">
        <f>IF(B105&lt;=MIN(Simulation!$F$10*12+Simulation!$F$12*OR(Simulation!$F$11="Amortissable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partiel",IF(B105&lt;=Simulation!$F$12,Simulation!$E$33*Simulation!$F$8/12,PMT(Simulation!$F$8/12,Simulation!$F$10*12,-Simulation!$E$34)),IF(Simulation!$F$11="Amortissable différé total",IF(B105&lt;=Simulation!$F$12,0,PMT(Simulation!$F$8/12,Simulation!$F$10*12,-Simulation!$E$34)),IF(Simulation!$F$11="In fine",IF(B105=Simulation!$F$10*12,Simulation!$E$34,Simulation!$F$8*Simulation!$E$34/12),0)))),0)</f>
        <v>860.8610094454034</v>
      </c>
      <c r="H105" s="113">
        <f>Simulation!$C$16/12*(1+Simulation!$F$15)^INT((B105-1)/12)*(B105&lt;=Simulation!$F$24*12)</f>
        <v>1082.8567056280801</v>
      </c>
      <c r="I105" s="114">
        <f>(Simulation!$F$22-VLOOKUP(Simulation!$C$27,'Comparatif fiscal'!$B$8:$E$17,4,FALSE)-C105)*(B105=Simulation!$F$24*12)</f>
        <v>0</v>
      </c>
      <c r="J105" s="114">
        <f>(Simulation!$C$21+Simulation!$C$22)/12*(1+Simulation!$F$17)^INT((B105-1)/12)*(B105&lt;=Simulation!$F$24*12)</f>
        <v>135.35708820351002</v>
      </c>
      <c r="K105" s="114">
        <f>(H105*Simulation!$C$24+Simulation!$C$23/12*(1+Simulation!$F$15)^INT((B105-1)/12))*(B105&lt;=Simulation!$F$24*12)</f>
        <v>111.89519291490163</v>
      </c>
      <c r="L105" s="114">
        <f>Simulation!$C$19/12*(1+Simulation!$F$18)^INT((B105-1)/12)*(B105&lt;=Simulation!$F$24*12)</f>
        <v>54.142835281404011</v>
      </c>
      <c r="M105" s="114">
        <f>(Simulation!$C$20/12*(1+Simulation!$F$19)^INT((B105-1)/12)+F105)*(B105&lt;=Simulation!$F$24*12)</f>
        <v>38.757139213567335</v>
      </c>
      <c r="N105" s="114">
        <f ca="1">SUMIF('Détail fiscalité'!$B$8:$B$37,INT(B105/12),'Détail fiscalité'!$CI$8:$CI$37)/12+SUMIF('Détail fiscalité'!$B$8:$B$37,B105/12,'Détail fiscalité'!$CI$8:$CI$37)-SUMIF('Détail fiscalité'!$B$8:$B$37,B105/12-1,'Détail fiscalité'!$CI$8:$CI$37)</f>
        <v>0</v>
      </c>
      <c r="O105" s="116">
        <f t="shared" ca="1" si="18"/>
        <v>-118.15655943070624</v>
      </c>
    </row>
    <row r="106" spans="2:15" x14ac:dyDescent="0.15">
      <c r="B106" s="40">
        <f t="shared" si="17"/>
        <v>99</v>
      </c>
      <c r="C106" s="113">
        <f>IF(B106&lt;=MIN(Simulation!$F$10*12+Simulation!$F$12*OR(Simulation!$F$11="Amortissable différé partiel",Simulation!$F$11="Amortissable différé total"),Simulation!$F$24*12),IF(AND(B106&lt;=Simulation!$F$12,OR(Simulation!$F$11="Amortissable différé partiel",Simulation!$F$11="Amortissable différé total")),C105*(1+(Simulation!$F$11="Amortissable différé total")*Simulation!$F$8/12),C105-D106),0)</f>
        <v>111222.80224244768</v>
      </c>
      <c r="D106" s="114">
        <f>IF(B106&lt;=MIN(Simulation!$F$10*12+Simulation!$F$12*OR(Simulation!$F$11="Amortissable différé partiel",Simulation!$F$11="Amortissable différé total"),Simulation!$F$24*12),G106-E106,0)</f>
        <v>720.93134246426348</v>
      </c>
      <c r="E106" s="114">
        <f>IF(B106&lt;=MIN(Simulation!$F$10*12+Simulation!$F$12*OR(Simulation!$F$11="Amortissable différé partiel",Simulation!$F$11="Amortissable différé total"),Simulation!$F$24*12),IF(AND(B106&lt;=Simulation!$F$12,Simulation!$F$11="Amortissable différé total"),0,C105*Simulation!$F$8/12),0)</f>
        <v>139.92966698113992</v>
      </c>
      <c r="F106" s="114">
        <f>IF(B106&lt;=MIN(Simulation!$F$10*12+Simulation!$F$12*OR(Simulation!$F$11="Amortissable différé partiel",Simulation!$F$11="Amortissable différé total"),Simulation!$F$24*12),Simulation!$E$33*Simulation!$F$9/12,0)</f>
        <v>29.733333333333334</v>
      </c>
      <c r="G106" s="115">
        <f>IF(B106&lt;=MIN(Simulation!$F$10*12+Simulation!$F$12*OR(Simulation!$F$11="Amortissable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partiel",IF(B106&lt;=Simulation!$F$12,Simulation!$E$33*Simulation!$F$8/12,PMT(Simulation!$F$8/12,Simulation!$F$10*12,-Simulation!$E$34)),IF(Simulation!$F$11="Amortissable différé total",IF(B106&lt;=Simulation!$F$12,0,PMT(Simulation!$F$8/12,Simulation!$F$10*12,-Simulation!$E$34)),IF(Simulation!$F$11="In fine",IF(B106=Simulation!$F$10*12,Simulation!$E$34,Simulation!$F$8*Simulation!$E$34/12),0)))),0)</f>
        <v>860.8610094454034</v>
      </c>
      <c r="H106" s="113">
        <f>Simulation!$C$16/12*(1+Simulation!$F$15)^INT((B106-1)/12)*(B106&lt;=Simulation!$F$24*12)</f>
        <v>1082.8567056280801</v>
      </c>
      <c r="I106" s="114">
        <f>(Simulation!$F$22-VLOOKUP(Simulation!$C$27,'Comparatif fiscal'!$B$8:$E$17,4,FALSE)-C106)*(B106=Simulation!$F$24*12)</f>
        <v>0</v>
      </c>
      <c r="J106" s="114">
        <f>(Simulation!$C$21+Simulation!$C$22)/12*(1+Simulation!$F$17)^INT((B106-1)/12)*(B106&lt;=Simulation!$F$24*12)</f>
        <v>135.35708820351002</v>
      </c>
      <c r="K106" s="114">
        <f>(H106*Simulation!$C$24+Simulation!$C$23/12*(1+Simulation!$F$15)^INT((B106-1)/12))*(B106&lt;=Simulation!$F$24*12)</f>
        <v>111.89519291490163</v>
      </c>
      <c r="L106" s="114">
        <f>Simulation!$C$19/12*(1+Simulation!$F$18)^INT((B106-1)/12)*(B106&lt;=Simulation!$F$24*12)</f>
        <v>54.142835281404011</v>
      </c>
      <c r="M106" s="114">
        <f>(Simulation!$C$20/12*(1+Simulation!$F$19)^INT((B106-1)/12)+F106)*(B106&lt;=Simulation!$F$24*12)</f>
        <v>38.757139213567335</v>
      </c>
      <c r="N106" s="114">
        <f ca="1">SUMIF('Détail fiscalité'!$B$8:$B$37,INT(B106/12),'Détail fiscalité'!$CI$8:$CI$37)/12+SUMIF('Détail fiscalité'!$B$8:$B$37,B106/12,'Détail fiscalité'!$CI$8:$CI$37)-SUMIF('Détail fiscalité'!$B$8:$B$37,B106/12-1,'Détail fiscalité'!$CI$8:$CI$37)</f>
        <v>0</v>
      </c>
      <c r="O106" s="116">
        <f t="shared" ca="1" si="18"/>
        <v>-118.15655943070624</v>
      </c>
    </row>
    <row r="107" spans="2:15" x14ac:dyDescent="0.15">
      <c r="B107" s="40">
        <f t="shared" si="17"/>
        <v>100</v>
      </c>
      <c r="C107" s="113">
        <f>IF(B107&lt;=MIN(Simulation!$F$10*12+Simulation!$F$12*OR(Simulation!$F$11="Amortissable différé partiel",Simulation!$F$11="Amortissable différé total"),Simulation!$F$24*12),IF(AND(B107&lt;=Simulation!$F$12,OR(Simulation!$F$11="Amortissable différé partiel",Simulation!$F$11="Amortissable différé total")),C106*(1+(Simulation!$F$11="Amortissable différé total")*Simulation!$F$8/12),C106-D107),0)</f>
        <v>110500.96973580534</v>
      </c>
      <c r="D107" s="114">
        <f>IF(B107&lt;=MIN(Simulation!$F$10*12+Simulation!$F$12*OR(Simulation!$F$11="Amortissable différé partiel",Simulation!$F$11="Amortissable différé total"),Simulation!$F$24*12),G107-E107,0)</f>
        <v>721.83250664234379</v>
      </c>
      <c r="E107" s="114">
        <f>IF(B107&lt;=MIN(Simulation!$F$10*12+Simulation!$F$12*OR(Simulation!$F$11="Amortissable différé partiel",Simulation!$F$11="Amortissable différé total"),Simulation!$F$24*12),IF(AND(B107&lt;=Simulation!$F$12,Simulation!$F$11="Amortissable différé total"),0,C106*Simulation!$F$8/12),0)</f>
        <v>139.02850280305958</v>
      </c>
      <c r="F107" s="114">
        <f>IF(B107&lt;=MIN(Simulation!$F$10*12+Simulation!$F$12*OR(Simulation!$F$11="Amortissable différé partiel",Simulation!$F$11="Amortissable différé total"),Simulation!$F$24*12),Simulation!$E$33*Simulation!$F$9/12,0)</f>
        <v>29.733333333333334</v>
      </c>
      <c r="G107" s="115">
        <f>IF(B107&lt;=MIN(Simulation!$F$10*12+Simulation!$F$12*OR(Simulation!$F$11="Amortissable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partiel",IF(B107&lt;=Simulation!$F$12,Simulation!$E$33*Simulation!$F$8/12,PMT(Simulation!$F$8/12,Simulation!$F$10*12,-Simulation!$E$34)),IF(Simulation!$F$11="Amortissable différé total",IF(B107&lt;=Simulation!$F$12,0,PMT(Simulation!$F$8/12,Simulation!$F$10*12,-Simulation!$E$34)),IF(Simulation!$F$11="In fine",IF(B107=Simulation!$F$10*12,Simulation!$E$34,Simulation!$F$8*Simulation!$E$34/12),0)))),0)</f>
        <v>860.8610094454034</v>
      </c>
      <c r="H107" s="113">
        <f>Simulation!$C$16/12*(1+Simulation!$F$15)^INT((B107-1)/12)*(B107&lt;=Simulation!$F$24*12)</f>
        <v>1082.8567056280801</v>
      </c>
      <c r="I107" s="114">
        <f>(Simulation!$F$22-VLOOKUP(Simulation!$C$27,'Comparatif fiscal'!$B$8:$E$17,4,FALSE)-C107)*(B107=Simulation!$F$24*12)</f>
        <v>0</v>
      </c>
      <c r="J107" s="114">
        <f>(Simulation!$C$21+Simulation!$C$22)/12*(1+Simulation!$F$17)^INT((B107-1)/12)*(B107&lt;=Simulation!$F$24*12)</f>
        <v>135.35708820351002</v>
      </c>
      <c r="K107" s="114">
        <f>(H107*Simulation!$C$24+Simulation!$C$23/12*(1+Simulation!$F$15)^INT((B107-1)/12))*(B107&lt;=Simulation!$F$24*12)</f>
        <v>111.89519291490163</v>
      </c>
      <c r="L107" s="114">
        <f>Simulation!$C$19/12*(1+Simulation!$F$18)^INT((B107-1)/12)*(B107&lt;=Simulation!$F$24*12)</f>
        <v>54.142835281404011</v>
      </c>
      <c r="M107" s="114">
        <f>(Simulation!$C$20/12*(1+Simulation!$F$19)^INT((B107-1)/12)+F107)*(B107&lt;=Simulation!$F$24*12)</f>
        <v>38.757139213567335</v>
      </c>
      <c r="N107" s="114">
        <f ca="1">SUMIF('Détail fiscalité'!$B$8:$B$37,INT(B107/12),'Détail fiscalité'!$CI$8:$CI$37)/12+SUMIF('Détail fiscalité'!$B$8:$B$37,B107/12,'Détail fiscalité'!$CI$8:$CI$37)-SUMIF('Détail fiscalité'!$B$8:$B$37,B107/12-1,'Détail fiscalité'!$CI$8:$CI$37)</f>
        <v>0</v>
      </c>
      <c r="O107" s="116">
        <f t="shared" ca="1" si="18"/>
        <v>-118.15655943070624</v>
      </c>
    </row>
    <row r="108" spans="2:15" x14ac:dyDescent="0.15">
      <c r="B108" s="40">
        <f t="shared" si="17"/>
        <v>101</v>
      </c>
      <c r="C108" s="113">
        <f>IF(B108&lt;=MIN(Simulation!$F$10*12+Simulation!$F$12*OR(Simulation!$F$11="Amortissable différé partiel",Simulation!$F$11="Amortissable différé total"),Simulation!$F$24*12),IF(AND(B108&lt;=Simulation!$F$12,OR(Simulation!$F$11="Amortissable différé partiel",Simulation!$F$11="Amortissable différé total")),C107*(1+(Simulation!$F$11="Amortissable différé total")*Simulation!$F$8/12),C107-D108),0)</f>
        <v>109778.2349385297</v>
      </c>
      <c r="D108" s="114">
        <f>IF(B108&lt;=MIN(Simulation!$F$10*12+Simulation!$F$12*OR(Simulation!$F$11="Amortissable différé partiel",Simulation!$F$11="Amortissable différé total"),Simulation!$F$24*12),G108-E108,0)</f>
        <v>722.73479727564677</v>
      </c>
      <c r="E108" s="114">
        <f>IF(B108&lt;=MIN(Simulation!$F$10*12+Simulation!$F$12*OR(Simulation!$F$11="Amortissable différé partiel",Simulation!$F$11="Amortissable différé total"),Simulation!$F$24*12),IF(AND(B108&lt;=Simulation!$F$12,Simulation!$F$11="Amortissable différé total"),0,C107*Simulation!$F$8/12),0)</f>
        <v>138.12621216975666</v>
      </c>
      <c r="F108" s="114">
        <f>IF(B108&lt;=MIN(Simulation!$F$10*12+Simulation!$F$12*OR(Simulation!$F$11="Amortissable différé partiel",Simulation!$F$11="Amortissable différé total"),Simulation!$F$24*12),Simulation!$E$33*Simulation!$F$9/12,0)</f>
        <v>29.733333333333334</v>
      </c>
      <c r="G108" s="115">
        <f>IF(B108&lt;=MIN(Simulation!$F$10*12+Simulation!$F$12*OR(Simulation!$F$11="Amortissable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partiel",IF(B108&lt;=Simulation!$F$12,Simulation!$E$33*Simulation!$F$8/12,PMT(Simulation!$F$8/12,Simulation!$F$10*12,-Simulation!$E$34)),IF(Simulation!$F$11="Amortissable différé total",IF(B108&lt;=Simulation!$F$12,0,PMT(Simulation!$F$8/12,Simulation!$F$10*12,-Simulation!$E$34)),IF(Simulation!$F$11="In fine",IF(B108=Simulation!$F$10*12,Simulation!$E$34,Simulation!$F$8*Simulation!$E$34/12),0)))),0)</f>
        <v>860.8610094454034</v>
      </c>
      <c r="H108" s="113">
        <f>Simulation!$C$16/12*(1+Simulation!$F$15)^INT((B108-1)/12)*(B108&lt;=Simulation!$F$24*12)</f>
        <v>1082.8567056280801</v>
      </c>
      <c r="I108" s="114">
        <f>(Simulation!$F$22-VLOOKUP(Simulation!$C$27,'Comparatif fiscal'!$B$8:$E$17,4,FALSE)-C108)*(B108=Simulation!$F$24*12)</f>
        <v>0</v>
      </c>
      <c r="J108" s="114">
        <f>(Simulation!$C$21+Simulation!$C$22)/12*(1+Simulation!$F$17)^INT((B108-1)/12)*(B108&lt;=Simulation!$F$24*12)</f>
        <v>135.35708820351002</v>
      </c>
      <c r="K108" s="114">
        <f>(H108*Simulation!$C$24+Simulation!$C$23/12*(1+Simulation!$F$15)^INT((B108-1)/12))*(B108&lt;=Simulation!$F$24*12)</f>
        <v>111.89519291490163</v>
      </c>
      <c r="L108" s="114">
        <f>Simulation!$C$19/12*(1+Simulation!$F$18)^INT((B108-1)/12)*(B108&lt;=Simulation!$F$24*12)</f>
        <v>54.142835281404011</v>
      </c>
      <c r="M108" s="114">
        <f>(Simulation!$C$20/12*(1+Simulation!$F$19)^INT((B108-1)/12)+F108)*(B108&lt;=Simulation!$F$24*12)</f>
        <v>38.757139213567335</v>
      </c>
      <c r="N108" s="114">
        <f ca="1">SUMIF('Détail fiscalité'!$B$8:$B$37,INT(B108/12),'Détail fiscalité'!$CI$8:$CI$37)/12+SUMIF('Détail fiscalité'!$B$8:$B$37,B108/12,'Détail fiscalité'!$CI$8:$CI$37)-SUMIF('Détail fiscalité'!$B$8:$B$37,B108/12-1,'Détail fiscalité'!$CI$8:$CI$37)</f>
        <v>0</v>
      </c>
      <c r="O108" s="116">
        <f t="shared" ca="1" si="18"/>
        <v>-118.15655943070624</v>
      </c>
    </row>
    <row r="109" spans="2:15" x14ac:dyDescent="0.15">
      <c r="B109" s="40">
        <f t="shared" si="17"/>
        <v>102</v>
      </c>
      <c r="C109" s="113">
        <f>IF(B109&lt;=MIN(Simulation!$F$10*12+Simulation!$F$12*OR(Simulation!$F$11="Amortissable différé partiel",Simulation!$F$11="Amortissable différé total"),Simulation!$F$24*12),IF(AND(B109&lt;=Simulation!$F$12,OR(Simulation!$F$11="Amortissable différé partiel",Simulation!$F$11="Amortissable différé total")),C108*(1+(Simulation!$F$11="Amortissable différé total")*Simulation!$F$8/12),C108-D109),0)</f>
        <v>109054.59672275746</v>
      </c>
      <c r="D109" s="114">
        <f>IF(B109&lt;=MIN(Simulation!$F$10*12+Simulation!$F$12*OR(Simulation!$F$11="Amortissable différé partiel",Simulation!$F$11="Amortissable différé total"),Simulation!$F$24*12),G109-E109,0)</f>
        <v>723.63821577224132</v>
      </c>
      <c r="E109" s="114">
        <f>IF(B109&lt;=MIN(Simulation!$F$10*12+Simulation!$F$12*OR(Simulation!$F$11="Amortissable différé partiel",Simulation!$F$11="Amortissable différé total"),Simulation!$F$24*12),IF(AND(B109&lt;=Simulation!$F$12,Simulation!$F$11="Amortissable différé total"),0,C108*Simulation!$F$8/12),0)</f>
        <v>137.2227936731621</v>
      </c>
      <c r="F109" s="114">
        <f>IF(B109&lt;=MIN(Simulation!$F$10*12+Simulation!$F$12*OR(Simulation!$F$11="Amortissable différé partiel",Simulation!$F$11="Amortissable différé total"),Simulation!$F$24*12),Simulation!$E$33*Simulation!$F$9/12,0)</f>
        <v>29.733333333333334</v>
      </c>
      <c r="G109" s="115">
        <f>IF(B109&lt;=MIN(Simulation!$F$10*12+Simulation!$F$12*OR(Simulation!$F$11="Amortissable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partiel",IF(B109&lt;=Simulation!$F$12,Simulation!$E$33*Simulation!$F$8/12,PMT(Simulation!$F$8/12,Simulation!$F$10*12,-Simulation!$E$34)),IF(Simulation!$F$11="Amortissable différé total",IF(B109&lt;=Simulation!$F$12,0,PMT(Simulation!$F$8/12,Simulation!$F$10*12,-Simulation!$E$34)),IF(Simulation!$F$11="In fine",IF(B109=Simulation!$F$10*12,Simulation!$E$34,Simulation!$F$8*Simulation!$E$34/12),0)))),0)</f>
        <v>860.8610094454034</v>
      </c>
      <c r="H109" s="113">
        <f>Simulation!$C$16/12*(1+Simulation!$F$15)^INT((B109-1)/12)*(B109&lt;=Simulation!$F$24*12)</f>
        <v>1082.8567056280801</v>
      </c>
      <c r="I109" s="114">
        <f>(Simulation!$F$22-VLOOKUP(Simulation!$C$27,'Comparatif fiscal'!$B$8:$E$17,4,FALSE)-C109)*(B109=Simulation!$F$24*12)</f>
        <v>0</v>
      </c>
      <c r="J109" s="114">
        <f>(Simulation!$C$21+Simulation!$C$22)/12*(1+Simulation!$F$17)^INT((B109-1)/12)*(B109&lt;=Simulation!$F$24*12)</f>
        <v>135.35708820351002</v>
      </c>
      <c r="K109" s="114">
        <f>(H109*Simulation!$C$24+Simulation!$C$23/12*(1+Simulation!$F$15)^INT((B109-1)/12))*(B109&lt;=Simulation!$F$24*12)</f>
        <v>111.89519291490163</v>
      </c>
      <c r="L109" s="114">
        <f>Simulation!$C$19/12*(1+Simulation!$F$18)^INT((B109-1)/12)*(B109&lt;=Simulation!$F$24*12)</f>
        <v>54.142835281404011</v>
      </c>
      <c r="M109" s="114">
        <f>(Simulation!$C$20/12*(1+Simulation!$F$19)^INT((B109-1)/12)+F109)*(B109&lt;=Simulation!$F$24*12)</f>
        <v>38.757139213567335</v>
      </c>
      <c r="N109" s="114">
        <f ca="1">SUMIF('Détail fiscalité'!$B$8:$B$37,INT(B109/12),'Détail fiscalité'!$CI$8:$CI$37)/12+SUMIF('Détail fiscalité'!$B$8:$B$37,B109/12,'Détail fiscalité'!$CI$8:$CI$37)-SUMIF('Détail fiscalité'!$B$8:$B$37,B109/12-1,'Détail fiscalité'!$CI$8:$CI$37)</f>
        <v>0</v>
      </c>
      <c r="O109" s="116">
        <f t="shared" ca="1" si="18"/>
        <v>-118.15655943070624</v>
      </c>
    </row>
    <row r="110" spans="2:15" x14ac:dyDescent="0.15">
      <c r="B110" s="40">
        <f t="shared" si="17"/>
        <v>103</v>
      </c>
      <c r="C110" s="113">
        <f>IF(B110&lt;=MIN(Simulation!$F$10*12+Simulation!$F$12*OR(Simulation!$F$11="Amortissable différé partiel",Simulation!$F$11="Amortissable différé total"),Simulation!$F$24*12),IF(AND(B110&lt;=Simulation!$F$12,OR(Simulation!$F$11="Amortissable différé partiel",Simulation!$F$11="Amortissable différé total")),C109*(1+(Simulation!$F$11="Amortissable différé total")*Simulation!$F$8/12),C109-D110),0)</f>
        <v>108330.0539592155</v>
      </c>
      <c r="D110" s="114">
        <f>IF(B110&lt;=MIN(Simulation!$F$10*12+Simulation!$F$12*OR(Simulation!$F$11="Amortissable différé partiel",Simulation!$F$11="Amortissable différé total"),Simulation!$F$24*12),G110-E110,0)</f>
        <v>724.54276354195656</v>
      </c>
      <c r="E110" s="114">
        <f>IF(B110&lt;=MIN(Simulation!$F$10*12+Simulation!$F$12*OR(Simulation!$F$11="Amortissable différé partiel",Simulation!$F$11="Amortissable différé total"),Simulation!$F$24*12),IF(AND(B110&lt;=Simulation!$F$12,Simulation!$F$11="Amortissable différé total"),0,C109*Simulation!$F$8/12),0)</f>
        <v>136.31824590344681</v>
      </c>
      <c r="F110" s="114">
        <f>IF(B110&lt;=MIN(Simulation!$F$10*12+Simulation!$F$12*OR(Simulation!$F$11="Amortissable différé partiel",Simulation!$F$11="Amortissable différé total"),Simulation!$F$24*12),Simulation!$E$33*Simulation!$F$9/12,0)</f>
        <v>29.733333333333334</v>
      </c>
      <c r="G110" s="115">
        <f>IF(B110&lt;=MIN(Simulation!$F$10*12+Simulation!$F$12*OR(Simulation!$F$11="Amortissable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partiel",IF(B110&lt;=Simulation!$F$12,Simulation!$E$33*Simulation!$F$8/12,PMT(Simulation!$F$8/12,Simulation!$F$10*12,-Simulation!$E$34)),IF(Simulation!$F$11="Amortissable différé total",IF(B110&lt;=Simulation!$F$12,0,PMT(Simulation!$F$8/12,Simulation!$F$10*12,-Simulation!$E$34)),IF(Simulation!$F$11="In fine",IF(B110=Simulation!$F$10*12,Simulation!$E$34,Simulation!$F$8*Simulation!$E$34/12),0)))),0)</f>
        <v>860.8610094454034</v>
      </c>
      <c r="H110" s="113">
        <f>Simulation!$C$16/12*(1+Simulation!$F$15)^INT((B110-1)/12)*(B110&lt;=Simulation!$F$24*12)</f>
        <v>1082.8567056280801</v>
      </c>
      <c r="I110" s="114">
        <f>(Simulation!$F$22-VLOOKUP(Simulation!$C$27,'Comparatif fiscal'!$B$8:$E$17,4,FALSE)-C110)*(B110=Simulation!$F$24*12)</f>
        <v>0</v>
      </c>
      <c r="J110" s="114">
        <f>(Simulation!$C$21+Simulation!$C$22)/12*(1+Simulation!$F$17)^INT((B110-1)/12)*(B110&lt;=Simulation!$F$24*12)</f>
        <v>135.35708820351002</v>
      </c>
      <c r="K110" s="114">
        <f>(H110*Simulation!$C$24+Simulation!$C$23/12*(1+Simulation!$F$15)^INT((B110-1)/12))*(B110&lt;=Simulation!$F$24*12)</f>
        <v>111.89519291490163</v>
      </c>
      <c r="L110" s="114">
        <f>Simulation!$C$19/12*(1+Simulation!$F$18)^INT((B110-1)/12)*(B110&lt;=Simulation!$F$24*12)</f>
        <v>54.142835281404011</v>
      </c>
      <c r="M110" s="114">
        <f>(Simulation!$C$20/12*(1+Simulation!$F$19)^INT((B110-1)/12)+F110)*(B110&lt;=Simulation!$F$24*12)</f>
        <v>38.757139213567335</v>
      </c>
      <c r="N110" s="114">
        <f ca="1">SUMIF('Détail fiscalité'!$B$8:$B$37,INT(B110/12),'Détail fiscalité'!$CI$8:$CI$37)/12+SUMIF('Détail fiscalité'!$B$8:$B$37,B110/12,'Détail fiscalité'!$CI$8:$CI$37)-SUMIF('Détail fiscalité'!$B$8:$B$37,B110/12-1,'Détail fiscalité'!$CI$8:$CI$37)</f>
        <v>0</v>
      </c>
      <c r="O110" s="116">
        <f t="shared" ca="1" si="18"/>
        <v>-118.15655943070624</v>
      </c>
    </row>
    <row r="111" spans="2:15" x14ac:dyDescent="0.15">
      <c r="B111" s="40">
        <f t="shared" si="17"/>
        <v>104</v>
      </c>
      <c r="C111" s="113">
        <f>IF(B111&lt;=MIN(Simulation!$F$10*12+Simulation!$F$12*OR(Simulation!$F$11="Amortissable différé partiel",Simulation!$F$11="Amortissable différé total"),Simulation!$F$24*12),IF(AND(B111&lt;=Simulation!$F$12,OR(Simulation!$F$11="Amortissable différé partiel",Simulation!$F$11="Amortissable différé total")),C110*(1+(Simulation!$F$11="Amortissable différé total")*Simulation!$F$8/12),C110-D111),0)</f>
        <v>107604.60551721911</v>
      </c>
      <c r="D111" s="114">
        <f>IF(B111&lt;=MIN(Simulation!$F$10*12+Simulation!$F$12*OR(Simulation!$F$11="Amortissable différé partiel",Simulation!$F$11="Amortissable différé total"),Simulation!$F$24*12),G111-E111,0)</f>
        <v>725.44844199638408</v>
      </c>
      <c r="E111" s="114">
        <f>IF(B111&lt;=MIN(Simulation!$F$10*12+Simulation!$F$12*OR(Simulation!$F$11="Amortissable différé partiel",Simulation!$F$11="Amortissable différé total"),Simulation!$F$24*12),IF(AND(B111&lt;=Simulation!$F$12,Simulation!$F$11="Amortissable différé total"),0,C110*Simulation!$F$8/12),0)</f>
        <v>135.41256744901935</v>
      </c>
      <c r="F111" s="114">
        <f>IF(B111&lt;=MIN(Simulation!$F$10*12+Simulation!$F$12*OR(Simulation!$F$11="Amortissable différé partiel",Simulation!$F$11="Amortissable différé total"),Simulation!$F$24*12),Simulation!$E$33*Simulation!$F$9/12,0)</f>
        <v>29.733333333333334</v>
      </c>
      <c r="G111" s="115">
        <f>IF(B111&lt;=MIN(Simulation!$F$10*12+Simulation!$F$12*OR(Simulation!$F$11="Amortissable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partiel",IF(B111&lt;=Simulation!$F$12,Simulation!$E$33*Simulation!$F$8/12,PMT(Simulation!$F$8/12,Simulation!$F$10*12,-Simulation!$E$34)),IF(Simulation!$F$11="Amortissable différé total",IF(B111&lt;=Simulation!$F$12,0,PMT(Simulation!$F$8/12,Simulation!$F$10*12,-Simulation!$E$34)),IF(Simulation!$F$11="In fine",IF(B111=Simulation!$F$10*12,Simulation!$E$34,Simulation!$F$8*Simulation!$E$34/12),0)))),0)</f>
        <v>860.8610094454034</v>
      </c>
      <c r="H111" s="113">
        <f>Simulation!$C$16/12*(1+Simulation!$F$15)^INT((B111-1)/12)*(B111&lt;=Simulation!$F$24*12)</f>
        <v>1082.8567056280801</v>
      </c>
      <c r="I111" s="114">
        <f>(Simulation!$F$22-VLOOKUP(Simulation!$C$27,'Comparatif fiscal'!$B$8:$E$17,4,FALSE)-C111)*(B111=Simulation!$F$24*12)</f>
        <v>0</v>
      </c>
      <c r="J111" s="114">
        <f>(Simulation!$C$21+Simulation!$C$22)/12*(1+Simulation!$F$17)^INT((B111-1)/12)*(B111&lt;=Simulation!$F$24*12)</f>
        <v>135.35708820351002</v>
      </c>
      <c r="K111" s="114">
        <f>(H111*Simulation!$C$24+Simulation!$C$23/12*(1+Simulation!$F$15)^INT((B111-1)/12))*(B111&lt;=Simulation!$F$24*12)</f>
        <v>111.89519291490163</v>
      </c>
      <c r="L111" s="114">
        <f>Simulation!$C$19/12*(1+Simulation!$F$18)^INT((B111-1)/12)*(B111&lt;=Simulation!$F$24*12)</f>
        <v>54.142835281404011</v>
      </c>
      <c r="M111" s="114">
        <f>(Simulation!$C$20/12*(1+Simulation!$F$19)^INT((B111-1)/12)+F111)*(B111&lt;=Simulation!$F$24*12)</f>
        <v>38.757139213567335</v>
      </c>
      <c r="N111" s="114">
        <f ca="1">SUMIF('Détail fiscalité'!$B$8:$B$37,INT(B111/12),'Détail fiscalité'!$CI$8:$CI$37)/12+SUMIF('Détail fiscalité'!$B$8:$B$37,B111/12,'Détail fiscalité'!$CI$8:$CI$37)-SUMIF('Détail fiscalité'!$B$8:$B$37,B111/12-1,'Détail fiscalité'!$CI$8:$CI$37)</f>
        <v>0</v>
      </c>
      <c r="O111" s="116">
        <f t="shared" ca="1" si="18"/>
        <v>-118.15655943070624</v>
      </c>
    </row>
    <row r="112" spans="2:15" x14ac:dyDescent="0.15">
      <c r="B112" s="40">
        <f t="shared" si="17"/>
        <v>105</v>
      </c>
      <c r="C112" s="113">
        <f>IF(B112&lt;=MIN(Simulation!$F$10*12+Simulation!$F$12*OR(Simulation!$F$11="Amortissable différé partiel",Simulation!$F$11="Amortissable différé total"),Simulation!$F$24*12),IF(AND(B112&lt;=Simulation!$F$12,OR(Simulation!$F$11="Amortissable différé partiel",Simulation!$F$11="Amortissable différé total")),C111*(1+(Simulation!$F$11="Amortissable différé total")*Simulation!$F$8/12),C111-D112),0)</f>
        <v>106878.25026467023</v>
      </c>
      <c r="D112" s="114">
        <f>IF(B112&lt;=MIN(Simulation!$F$10*12+Simulation!$F$12*OR(Simulation!$F$11="Amortissable différé partiel",Simulation!$F$11="Amortissable différé total"),Simulation!$F$24*12),G112-E112,0)</f>
        <v>726.35525254887955</v>
      </c>
      <c r="E112" s="114">
        <f>IF(B112&lt;=MIN(Simulation!$F$10*12+Simulation!$F$12*OR(Simulation!$F$11="Amortissable différé partiel",Simulation!$F$11="Amortissable différé total"),Simulation!$F$24*12),IF(AND(B112&lt;=Simulation!$F$12,Simulation!$F$11="Amortissable différé total"),0,C111*Simulation!$F$8/12),0)</f>
        <v>134.50575689652388</v>
      </c>
      <c r="F112" s="114">
        <f>IF(B112&lt;=MIN(Simulation!$F$10*12+Simulation!$F$12*OR(Simulation!$F$11="Amortissable différé partiel",Simulation!$F$11="Amortissable différé total"),Simulation!$F$24*12),Simulation!$E$33*Simulation!$F$9/12,0)</f>
        <v>29.733333333333334</v>
      </c>
      <c r="G112" s="115">
        <f>IF(B112&lt;=MIN(Simulation!$F$10*12+Simulation!$F$12*OR(Simulation!$F$11="Amortissable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partiel",IF(B112&lt;=Simulation!$F$12,Simulation!$E$33*Simulation!$F$8/12,PMT(Simulation!$F$8/12,Simulation!$F$10*12,-Simulation!$E$34)),IF(Simulation!$F$11="Amortissable différé total",IF(B112&lt;=Simulation!$F$12,0,PMT(Simulation!$F$8/12,Simulation!$F$10*12,-Simulation!$E$34)),IF(Simulation!$F$11="In fine",IF(B112=Simulation!$F$10*12,Simulation!$E$34,Simulation!$F$8*Simulation!$E$34/12),0)))),0)</f>
        <v>860.8610094454034</v>
      </c>
      <c r="H112" s="113">
        <f>Simulation!$C$16/12*(1+Simulation!$F$15)^INT((B112-1)/12)*(B112&lt;=Simulation!$F$24*12)</f>
        <v>1082.8567056280801</v>
      </c>
      <c r="I112" s="114">
        <f>(Simulation!$F$22-VLOOKUP(Simulation!$C$27,'Comparatif fiscal'!$B$8:$E$17,4,FALSE)-C112)*(B112=Simulation!$F$24*12)</f>
        <v>0</v>
      </c>
      <c r="J112" s="114">
        <f>(Simulation!$C$21+Simulation!$C$22)/12*(1+Simulation!$F$17)^INT((B112-1)/12)*(B112&lt;=Simulation!$F$24*12)</f>
        <v>135.35708820351002</v>
      </c>
      <c r="K112" s="114">
        <f>(H112*Simulation!$C$24+Simulation!$C$23/12*(1+Simulation!$F$15)^INT((B112-1)/12))*(B112&lt;=Simulation!$F$24*12)</f>
        <v>111.89519291490163</v>
      </c>
      <c r="L112" s="114">
        <f>Simulation!$C$19/12*(1+Simulation!$F$18)^INT((B112-1)/12)*(B112&lt;=Simulation!$F$24*12)</f>
        <v>54.142835281404011</v>
      </c>
      <c r="M112" s="114">
        <f>(Simulation!$C$20/12*(1+Simulation!$F$19)^INT((B112-1)/12)+F112)*(B112&lt;=Simulation!$F$24*12)</f>
        <v>38.757139213567335</v>
      </c>
      <c r="N112" s="114">
        <f ca="1">SUMIF('Détail fiscalité'!$B$8:$B$37,INT(B112/12),'Détail fiscalité'!$CI$8:$CI$37)/12+SUMIF('Détail fiscalité'!$B$8:$B$37,B112/12,'Détail fiscalité'!$CI$8:$CI$37)-SUMIF('Détail fiscalité'!$B$8:$B$37,B112/12-1,'Détail fiscalité'!$CI$8:$CI$37)</f>
        <v>0</v>
      </c>
      <c r="O112" s="116">
        <f t="shared" ca="1" si="18"/>
        <v>-118.15655943070624</v>
      </c>
    </row>
    <row r="113" spans="2:15" x14ac:dyDescent="0.15">
      <c r="B113" s="40">
        <f t="shared" si="17"/>
        <v>106</v>
      </c>
      <c r="C113" s="113">
        <f>IF(B113&lt;=MIN(Simulation!$F$10*12+Simulation!$F$12*OR(Simulation!$F$11="Amortissable différé partiel",Simulation!$F$11="Amortissable différé total"),Simulation!$F$24*12),IF(AND(B113&lt;=Simulation!$F$12,OR(Simulation!$F$11="Amortissable différé partiel",Simulation!$F$11="Amortissable différé total")),C112*(1+(Simulation!$F$11="Amortissable différé total")*Simulation!$F$8/12),C112-D113),0)</f>
        <v>106150.98706805566</v>
      </c>
      <c r="D113" s="114">
        <f>IF(B113&lt;=MIN(Simulation!$F$10*12+Simulation!$F$12*OR(Simulation!$F$11="Amortissable différé partiel",Simulation!$F$11="Amortissable différé total"),Simulation!$F$24*12),G113-E113,0)</f>
        <v>727.26319661456557</v>
      </c>
      <c r="E113" s="114">
        <f>IF(B113&lt;=MIN(Simulation!$F$10*12+Simulation!$F$12*OR(Simulation!$F$11="Amortissable différé partiel",Simulation!$F$11="Amortissable différé total"),Simulation!$F$24*12),IF(AND(B113&lt;=Simulation!$F$12,Simulation!$F$11="Amortissable différé total"),0,C112*Simulation!$F$8/12),0)</f>
        <v>133.5978128308378</v>
      </c>
      <c r="F113" s="114">
        <f>IF(B113&lt;=MIN(Simulation!$F$10*12+Simulation!$F$12*OR(Simulation!$F$11="Amortissable différé partiel",Simulation!$F$11="Amortissable différé total"),Simulation!$F$24*12),Simulation!$E$33*Simulation!$F$9/12,0)</f>
        <v>29.733333333333334</v>
      </c>
      <c r="G113" s="115">
        <f>IF(B113&lt;=MIN(Simulation!$F$10*12+Simulation!$F$12*OR(Simulation!$F$11="Amortissable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partiel",IF(B113&lt;=Simulation!$F$12,Simulation!$E$33*Simulation!$F$8/12,PMT(Simulation!$F$8/12,Simulation!$F$10*12,-Simulation!$E$34)),IF(Simulation!$F$11="Amortissable différé total",IF(B113&lt;=Simulation!$F$12,0,PMT(Simulation!$F$8/12,Simulation!$F$10*12,-Simulation!$E$34)),IF(Simulation!$F$11="In fine",IF(B113=Simulation!$F$10*12,Simulation!$E$34,Simulation!$F$8*Simulation!$E$34/12),0)))),0)</f>
        <v>860.8610094454034</v>
      </c>
      <c r="H113" s="113">
        <f>Simulation!$C$16/12*(1+Simulation!$F$15)^INT((B113-1)/12)*(B113&lt;=Simulation!$F$24*12)</f>
        <v>1082.8567056280801</v>
      </c>
      <c r="I113" s="114">
        <f>(Simulation!$F$22-VLOOKUP(Simulation!$C$27,'Comparatif fiscal'!$B$8:$E$17,4,FALSE)-C113)*(B113=Simulation!$F$24*12)</f>
        <v>0</v>
      </c>
      <c r="J113" s="114">
        <f>(Simulation!$C$21+Simulation!$C$22)/12*(1+Simulation!$F$17)^INT((B113-1)/12)*(B113&lt;=Simulation!$F$24*12)</f>
        <v>135.35708820351002</v>
      </c>
      <c r="K113" s="114">
        <f>(H113*Simulation!$C$24+Simulation!$C$23/12*(1+Simulation!$F$15)^INT((B113-1)/12))*(B113&lt;=Simulation!$F$24*12)</f>
        <v>111.89519291490163</v>
      </c>
      <c r="L113" s="114">
        <f>Simulation!$C$19/12*(1+Simulation!$F$18)^INT((B113-1)/12)*(B113&lt;=Simulation!$F$24*12)</f>
        <v>54.142835281404011</v>
      </c>
      <c r="M113" s="114">
        <f>(Simulation!$C$20/12*(1+Simulation!$F$19)^INT((B113-1)/12)+F113)*(B113&lt;=Simulation!$F$24*12)</f>
        <v>38.757139213567335</v>
      </c>
      <c r="N113" s="114">
        <f ca="1">SUMIF('Détail fiscalité'!$B$8:$B$37,INT(B113/12),'Détail fiscalité'!$CI$8:$CI$37)/12+SUMIF('Détail fiscalité'!$B$8:$B$37,B113/12,'Détail fiscalité'!$CI$8:$CI$37)-SUMIF('Détail fiscalité'!$B$8:$B$37,B113/12-1,'Détail fiscalité'!$CI$8:$CI$37)</f>
        <v>0</v>
      </c>
      <c r="O113" s="116">
        <f t="shared" ca="1" si="18"/>
        <v>-118.15655943070624</v>
      </c>
    </row>
    <row r="114" spans="2:15" x14ac:dyDescent="0.15">
      <c r="B114" s="40">
        <f t="shared" si="17"/>
        <v>107</v>
      </c>
      <c r="C114" s="113">
        <f>IF(B114&lt;=MIN(Simulation!$F$10*12+Simulation!$F$12*OR(Simulation!$F$11="Amortissable différé partiel",Simulation!$F$11="Amortissable différé total"),Simulation!$F$24*12),IF(AND(B114&lt;=Simulation!$F$12,OR(Simulation!$F$11="Amortissable différé partiel",Simulation!$F$11="Amortissable différé total")),C113*(1+(Simulation!$F$11="Amortissable différé total")*Simulation!$F$8/12),C113-D114),0)</f>
        <v>105422.81479244532</v>
      </c>
      <c r="D114" s="114">
        <f>IF(B114&lt;=MIN(Simulation!$F$10*12+Simulation!$F$12*OR(Simulation!$F$11="Amortissable différé partiel",Simulation!$F$11="Amortissable différé total"),Simulation!$F$24*12),G114-E114,0)</f>
        <v>728.17227561033383</v>
      </c>
      <c r="E114" s="114">
        <f>IF(B114&lt;=MIN(Simulation!$F$10*12+Simulation!$F$12*OR(Simulation!$F$11="Amortissable différé partiel",Simulation!$F$11="Amortissable différé total"),Simulation!$F$24*12),IF(AND(B114&lt;=Simulation!$F$12,Simulation!$F$11="Amortissable différé total"),0,C113*Simulation!$F$8/12),0)</f>
        <v>132.68873383506957</v>
      </c>
      <c r="F114" s="114">
        <f>IF(B114&lt;=MIN(Simulation!$F$10*12+Simulation!$F$12*OR(Simulation!$F$11="Amortissable différé partiel",Simulation!$F$11="Amortissable différé total"),Simulation!$F$24*12),Simulation!$E$33*Simulation!$F$9/12,0)</f>
        <v>29.733333333333334</v>
      </c>
      <c r="G114" s="115">
        <f>IF(B114&lt;=MIN(Simulation!$F$10*12+Simulation!$F$12*OR(Simulation!$F$11="Amortissable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partiel",IF(B114&lt;=Simulation!$F$12,Simulation!$E$33*Simulation!$F$8/12,PMT(Simulation!$F$8/12,Simulation!$F$10*12,-Simulation!$E$34)),IF(Simulation!$F$11="Amortissable différé total",IF(B114&lt;=Simulation!$F$12,0,PMT(Simulation!$F$8/12,Simulation!$F$10*12,-Simulation!$E$34)),IF(Simulation!$F$11="In fine",IF(B114=Simulation!$F$10*12,Simulation!$E$34,Simulation!$F$8*Simulation!$E$34/12),0)))),0)</f>
        <v>860.8610094454034</v>
      </c>
      <c r="H114" s="113">
        <f>Simulation!$C$16/12*(1+Simulation!$F$15)^INT((B114-1)/12)*(B114&lt;=Simulation!$F$24*12)</f>
        <v>1082.8567056280801</v>
      </c>
      <c r="I114" s="114">
        <f>(Simulation!$F$22-VLOOKUP(Simulation!$C$27,'Comparatif fiscal'!$B$8:$E$17,4,FALSE)-C114)*(B114=Simulation!$F$24*12)</f>
        <v>0</v>
      </c>
      <c r="J114" s="114">
        <f>(Simulation!$C$21+Simulation!$C$22)/12*(1+Simulation!$F$17)^INT((B114-1)/12)*(B114&lt;=Simulation!$F$24*12)</f>
        <v>135.35708820351002</v>
      </c>
      <c r="K114" s="114">
        <f>(H114*Simulation!$C$24+Simulation!$C$23/12*(1+Simulation!$F$15)^INT((B114-1)/12))*(B114&lt;=Simulation!$F$24*12)</f>
        <v>111.89519291490163</v>
      </c>
      <c r="L114" s="114">
        <f>Simulation!$C$19/12*(1+Simulation!$F$18)^INT((B114-1)/12)*(B114&lt;=Simulation!$F$24*12)</f>
        <v>54.142835281404011</v>
      </c>
      <c r="M114" s="114">
        <f>(Simulation!$C$20/12*(1+Simulation!$F$19)^INT((B114-1)/12)+F114)*(B114&lt;=Simulation!$F$24*12)</f>
        <v>38.757139213567335</v>
      </c>
      <c r="N114" s="114">
        <f ca="1">SUMIF('Détail fiscalité'!$B$8:$B$37,INT(B114/12),'Détail fiscalité'!$CI$8:$CI$37)/12+SUMIF('Détail fiscalité'!$B$8:$B$37,B114/12,'Détail fiscalité'!$CI$8:$CI$37)-SUMIF('Détail fiscalité'!$B$8:$B$37,B114/12-1,'Détail fiscalité'!$CI$8:$CI$37)</f>
        <v>0</v>
      </c>
      <c r="O114" s="116">
        <f t="shared" ca="1" si="18"/>
        <v>-118.15655943070624</v>
      </c>
    </row>
    <row r="115" spans="2:15" x14ac:dyDescent="0.15">
      <c r="B115" s="40">
        <f t="shared" si="17"/>
        <v>108</v>
      </c>
      <c r="C115" s="113">
        <f>IF(B115&lt;=MIN(Simulation!$F$10*12+Simulation!$F$12*OR(Simulation!$F$11="Amortissable différé partiel",Simulation!$F$11="Amortissable différé total"),Simulation!$F$24*12),IF(AND(B115&lt;=Simulation!$F$12,OR(Simulation!$F$11="Amortissable différé partiel",Simulation!$F$11="Amortissable différé total")),C114*(1+(Simulation!$F$11="Amortissable différé total")*Simulation!$F$8/12),C114-D115),0)</f>
        <v>104693.73230149047</v>
      </c>
      <c r="D115" s="114">
        <f>IF(B115&lt;=MIN(Simulation!$F$10*12+Simulation!$F$12*OR(Simulation!$F$11="Amortissable différé partiel",Simulation!$F$11="Amortissable différé total"),Simulation!$F$24*12),G115-E115,0)</f>
        <v>729.08249095484678</v>
      </c>
      <c r="E115" s="114">
        <f>IF(B115&lt;=MIN(Simulation!$F$10*12+Simulation!$F$12*OR(Simulation!$F$11="Amortissable différé partiel",Simulation!$F$11="Amortissable différé total"),Simulation!$F$24*12),IF(AND(B115&lt;=Simulation!$F$12,Simulation!$F$11="Amortissable différé total"),0,C114*Simulation!$F$8/12),0)</f>
        <v>131.77851849055665</v>
      </c>
      <c r="F115" s="114">
        <f>IF(B115&lt;=MIN(Simulation!$F$10*12+Simulation!$F$12*OR(Simulation!$F$11="Amortissable différé partiel",Simulation!$F$11="Amortissable différé total"),Simulation!$F$24*12),Simulation!$E$33*Simulation!$F$9/12,0)</f>
        <v>29.733333333333334</v>
      </c>
      <c r="G115" s="115">
        <f>IF(B115&lt;=MIN(Simulation!$F$10*12+Simulation!$F$12*OR(Simulation!$F$11="Amortissable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partiel",IF(B115&lt;=Simulation!$F$12,Simulation!$E$33*Simulation!$F$8/12,PMT(Simulation!$F$8/12,Simulation!$F$10*12,-Simulation!$E$34)),IF(Simulation!$F$11="Amortissable différé total",IF(B115&lt;=Simulation!$F$12,0,PMT(Simulation!$F$8/12,Simulation!$F$10*12,-Simulation!$E$34)),IF(Simulation!$F$11="In fine",IF(B115=Simulation!$F$10*12,Simulation!$E$34,Simulation!$F$8*Simulation!$E$34/12),0)))),0)</f>
        <v>860.8610094454034</v>
      </c>
      <c r="H115" s="113">
        <f>Simulation!$C$16/12*(1+Simulation!$F$15)^INT((B115-1)/12)*(B115&lt;=Simulation!$F$24*12)</f>
        <v>1082.8567056280801</v>
      </c>
      <c r="I115" s="114">
        <f>(Simulation!$F$22-VLOOKUP(Simulation!$C$27,'Comparatif fiscal'!$B$8:$E$17,4,FALSE)-C115)*(B115=Simulation!$F$24*12)</f>
        <v>0</v>
      </c>
      <c r="J115" s="114">
        <f>(Simulation!$C$21+Simulation!$C$22)/12*(1+Simulation!$F$17)^INT((B115-1)/12)*(B115&lt;=Simulation!$F$24*12)</f>
        <v>135.35708820351002</v>
      </c>
      <c r="K115" s="114">
        <f>(H115*Simulation!$C$24+Simulation!$C$23/12*(1+Simulation!$F$15)^INT((B115-1)/12))*(B115&lt;=Simulation!$F$24*12)</f>
        <v>111.89519291490163</v>
      </c>
      <c r="L115" s="114">
        <f>Simulation!$C$19/12*(1+Simulation!$F$18)^INT((B115-1)/12)*(B115&lt;=Simulation!$F$24*12)</f>
        <v>54.142835281404011</v>
      </c>
      <c r="M115" s="114">
        <f>(Simulation!$C$20/12*(1+Simulation!$F$19)^INT((B115-1)/12)+F115)*(B115&lt;=Simulation!$F$24*12)</f>
        <v>38.757139213567335</v>
      </c>
      <c r="N115" s="114">
        <f ca="1">SUMIF('Détail fiscalité'!$B$8:$B$37,INT(B115/12),'Détail fiscalité'!$CI$8:$CI$37)/12+SUMIF('Détail fiscalité'!$B$8:$B$37,B115/12,'Détail fiscalité'!$CI$8:$CI$37)-SUMIF('Détail fiscalité'!$B$8:$B$37,B115/12-1,'Détail fiscalité'!$CI$8:$CI$37)</f>
        <v>0</v>
      </c>
      <c r="O115" s="116">
        <f t="shared" ca="1" si="18"/>
        <v>-118.15655943070624</v>
      </c>
    </row>
    <row r="116" spans="2:15" x14ac:dyDescent="0.15">
      <c r="B116" s="40">
        <f t="shared" si="17"/>
        <v>109</v>
      </c>
      <c r="C116" s="113">
        <f>IF(B116&lt;=MIN(Simulation!$F$10*12+Simulation!$F$12*OR(Simulation!$F$11="Amortissable différé partiel",Simulation!$F$11="Amortissable différé total"),Simulation!$F$24*12),IF(AND(B116&lt;=Simulation!$F$12,OR(Simulation!$F$11="Amortissable différé partiel",Simulation!$F$11="Amortissable différé total")),C115*(1+(Simulation!$F$11="Amortissable différé total")*Simulation!$F$8/12),C115-D116),0)</f>
        <v>103963.73845742193</v>
      </c>
      <c r="D116" s="114">
        <f>IF(B116&lt;=MIN(Simulation!$F$10*12+Simulation!$F$12*OR(Simulation!$F$11="Amortissable différé partiel",Simulation!$F$11="Amortissable différé total"),Simulation!$F$24*12),G116-E116,0)</f>
        <v>729.99384406854028</v>
      </c>
      <c r="E116" s="114">
        <f>IF(B116&lt;=MIN(Simulation!$F$10*12+Simulation!$F$12*OR(Simulation!$F$11="Amortissable différé partiel",Simulation!$F$11="Amortissable différé total"),Simulation!$F$24*12),IF(AND(B116&lt;=Simulation!$F$12,Simulation!$F$11="Amortissable différé total"),0,C115*Simulation!$F$8/12),0)</f>
        <v>130.86716537686308</v>
      </c>
      <c r="F116" s="114">
        <f>IF(B116&lt;=MIN(Simulation!$F$10*12+Simulation!$F$12*OR(Simulation!$F$11="Amortissable différé partiel",Simulation!$F$11="Amortissable différé total"),Simulation!$F$24*12),Simulation!$E$33*Simulation!$F$9/12,0)</f>
        <v>29.733333333333334</v>
      </c>
      <c r="G116" s="115">
        <f>IF(B116&lt;=MIN(Simulation!$F$10*12+Simulation!$F$12*OR(Simulation!$F$11="Amortissable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partiel",IF(B116&lt;=Simulation!$F$12,Simulation!$E$33*Simulation!$F$8/12,PMT(Simulation!$F$8/12,Simulation!$F$10*12,-Simulation!$E$34)),IF(Simulation!$F$11="Amortissable différé total",IF(B116&lt;=Simulation!$F$12,0,PMT(Simulation!$F$8/12,Simulation!$F$10*12,-Simulation!$E$34)),IF(Simulation!$F$11="In fine",IF(B116=Simulation!$F$10*12,Simulation!$E$34,Simulation!$F$8*Simulation!$E$34/12),0)))),0)</f>
        <v>860.8610094454034</v>
      </c>
      <c r="H116" s="113">
        <f>Simulation!$C$16/12*(1+Simulation!$F$15)^INT((B116-1)/12)*(B116&lt;=Simulation!$F$24*12)</f>
        <v>1093.6852726843611</v>
      </c>
      <c r="I116" s="114">
        <f>(Simulation!$F$22-VLOOKUP(Simulation!$C$27,'Comparatif fiscal'!$B$8:$E$17,4,FALSE)-C116)*(B116=Simulation!$F$24*12)</f>
        <v>0</v>
      </c>
      <c r="J116" s="114">
        <f>(Simulation!$C$21+Simulation!$C$22)/12*(1+Simulation!$F$17)^INT((B116-1)/12)*(B116&lt;=Simulation!$F$24*12)</f>
        <v>136.71065908554513</v>
      </c>
      <c r="K116" s="114">
        <f>(H116*Simulation!$C$24+Simulation!$C$23/12*(1+Simulation!$F$15)^INT((B116-1)/12))*(B116&lt;=Simulation!$F$24*12)</f>
        <v>113.01414484405065</v>
      </c>
      <c r="L116" s="114">
        <f>Simulation!$C$19/12*(1+Simulation!$F$18)^INT((B116-1)/12)*(B116&lt;=Simulation!$F$24*12)</f>
        <v>54.684263634218055</v>
      </c>
      <c r="M116" s="114">
        <f>(Simulation!$C$20/12*(1+Simulation!$F$19)^INT((B116-1)/12)+F116)*(B116&lt;=Simulation!$F$24*12)</f>
        <v>38.847377272369677</v>
      </c>
      <c r="N116" s="114">
        <f ca="1">SUMIF('Détail fiscalité'!$B$8:$B$37,INT(B116/12),'Détail fiscalité'!$CI$8:$CI$37)/12+SUMIF('Détail fiscalité'!$B$8:$B$37,B116/12,'Détail fiscalité'!$CI$8:$CI$37)-SUMIF('Détail fiscalité'!$B$8:$B$37,B116/12-1,'Détail fiscalité'!$CI$8:$CI$37)</f>
        <v>0</v>
      </c>
      <c r="O116" s="116">
        <f t="shared" ca="1" si="18"/>
        <v>-110.43218159722574</v>
      </c>
    </row>
    <row r="117" spans="2:15" x14ac:dyDescent="0.15">
      <c r="B117" s="40">
        <f t="shared" si="17"/>
        <v>110</v>
      </c>
      <c r="C117" s="113">
        <f>IF(B117&lt;=MIN(Simulation!$F$10*12+Simulation!$F$12*OR(Simulation!$F$11="Amortissable différé partiel",Simulation!$F$11="Amortissable différé total"),Simulation!$F$24*12),IF(AND(B117&lt;=Simulation!$F$12,OR(Simulation!$F$11="Amortissable différé partiel",Simulation!$F$11="Amortissable différé total")),C116*(1+(Simulation!$F$11="Amortissable différé total")*Simulation!$F$8/12),C116-D117),0)</f>
        <v>103232.83212104831</v>
      </c>
      <c r="D117" s="114">
        <f>IF(B117&lt;=MIN(Simulation!$F$10*12+Simulation!$F$12*OR(Simulation!$F$11="Amortissable différé partiel",Simulation!$F$11="Amortissable différé total"),Simulation!$F$24*12),G117-E117,0)</f>
        <v>730.906336373626</v>
      </c>
      <c r="E117" s="114">
        <f>IF(B117&lt;=MIN(Simulation!$F$10*12+Simulation!$F$12*OR(Simulation!$F$11="Amortissable différé partiel",Simulation!$F$11="Amortissable différé total"),Simulation!$F$24*12),IF(AND(B117&lt;=Simulation!$F$12,Simulation!$F$11="Amortissable différé total"),0,C116*Simulation!$F$8/12),0)</f>
        <v>129.95467307177742</v>
      </c>
      <c r="F117" s="114">
        <f>IF(B117&lt;=MIN(Simulation!$F$10*12+Simulation!$F$12*OR(Simulation!$F$11="Amortissable différé partiel",Simulation!$F$11="Amortissable différé total"),Simulation!$F$24*12),Simulation!$E$33*Simulation!$F$9/12,0)</f>
        <v>29.733333333333334</v>
      </c>
      <c r="G117" s="115">
        <f>IF(B117&lt;=MIN(Simulation!$F$10*12+Simulation!$F$12*OR(Simulation!$F$11="Amortissable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partiel",IF(B117&lt;=Simulation!$F$12,Simulation!$E$33*Simulation!$F$8/12,PMT(Simulation!$F$8/12,Simulation!$F$10*12,-Simulation!$E$34)),IF(Simulation!$F$11="Amortissable différé total",IF(B117&lt;=Simulation!$F$12,0,PMT(Simulation!$F$8/12,Simulation!$F$10*12,-Simulation!$E$34)),IF(Simulation!$F$11="In fine",IF(B117=Simulation!$F$10*12,Simulation!$E$34,Simulation!$F$8*Simulation!$E$34/12),0)))),0)</f>
        <v>860.8610094454034</v>
      </c>
      <c r="H117" s="113">
        <f>Simulation!$C$16/12*(1+Simulation!$F$15)^INT((B117-1)/12)*(B117&lt;=Simulation!$F$24*12)</f>
        <v>1093.6852726843611</v>
      </c>
      <c r="I117" s="114">
        <f>(Simulation!$F$22-VLOOKUP(Simulation!$C$27,'Comparatif fiscal'!$B$8:$E$17,4,FALSE)-C117)*(B117=Simulation!$F$24*12)</f>
        <v>0</v>
      </c>
      <c r="J117" s="114">
        <f>(Simulation!$C$21+Simulation!$C$22)/12*(1+Simulation!$F$17)^INT((B117-1)/12)*(B117&lt;=Simulation!$F$24*12)</f>
        <v>136.71065908554513</v>
      </c>
      <c r="K117" s="114">
        <f>(H117*Simulation!$C$24+Simulation!$C$23/12*(1+Simulation!$F$15)^INT((B117-1)/12))*(B117&lt;=Simulation!$F$24*12)</f>
        <v>113.01414484405065</v>
      </c>
      <c r="L117" s="114">
        <f>Simulation!$C$19/12*(1+Simulation!$F$18)^INT((B117-1)/12)*(B117&lt;=Simulation!$F$24*12)</f>
        <v>54.684263634218055</v>
      </c>
      <c r="M117" s="114">
        <f>(Simulation!$C$20/12*(1+Simulation!$F$19)^INT((B117-1)/12)+F117)*(B117&lt;=Simulation!$F$24*12)</f>
        <v>38.847377272369677</v>
      </c>
      <c r="N117" s="114">
        <f ca="1">SUMIF('Détail fiscalité'!$B$8:$B$37,INT(B117/12),'Détail fiscalité'!$CI$8:$CI$37)/12+SUMIF('Détail fiscalité'!$B$8:$B$37,B117/12,'Détail fiscalité'!$CI$8:$CI$37)-SUMIF('Détail fiscalité'!$B$8:$B$37,B117/12-1,'Détail fiscalité'!$CI$8:$CI$37)</f>
        <v>0</v>
      </c>
      <c r="O117" s="116">
        <f t="shared" ca="1" si="18"/>
        <v>-110.43218159722574</v>
      </c>
    </row>
    <row r="118" spans="2:15" x14ac:dyDescent="0.15">
      <c r="B118" s="40">
        <f t="shared" si="17"/>
        <v>111</v>
      </c>
      <c r="C118" s="113">
        <f>IF(B118&lt;=MIN(Simulation!$F$10*12+Simulation!$F$12*OR(Simulation!$F$11="Amortissable différé partiel",Simulation!$F$11="Amortissable différé total"),Simulation!$F$24*12),IF(AND(B118&lt;=Simulation!$F$12,OR(Simulation!$F$11="Amortissable différé partiel",Simulation!$F$11="Amortissable différé total")),C117*(1+(Simulation!$F$11="Amortissable différé total")*Simulation!$F$8/12),C117-D118),0)</f>
        <v>102501.01215175421</v>
      </c>
      <c r="D118" s="114">
        <f>IF(B118&lt;=MIN(Simulation!$F$10*12+Simulation!$F$12*OR(Simulation!$F$11="Amortissable différé partiel",Simulation!$F$11="Amortissable différé total"),Simulation!$F$24*12),G118-E118,0)</f>
        <v>731.81996929409297</v>
      </c>
      <c r="E118" s="114">
        <f>IF(B118&lt;=MIN(Simulation!$F$10*12+Simulation!$F$12*OR(Simulation!$F$11="Amortissable différé partiel",Simulation!$F$11="Amortissable différé total"),Simulation!$F$24*12),IF(AND(B118&lt;=Simulation!$F$12,Simulation!$F$11="Amortissable différé total"),0,C117*Simulation!$F$8/12),0)</f>
        <v>129.0410401513104</v>
      </c>
      <c r="F118" s="114">
        <f>IF(B118&lt;=MIN(Simulation!$F$10*12+Simulation!$F$12*OR(Simulation!$F$11="Amortissable différé partiel",Simulation!$F$11="Amortissable différé total"),Simulation!$F$24*12),Simulation!$E$33*Simulation!$F$9/12,0)</f>
        <v>29.733333333333334</v>
      </c>
      <c r="G118" s="115">
        <f>IF(B118&lt;=MIN(Simulation!$F$10*12+Simulation!$F$12*OR(Simulation!$F$11="Amortissable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partiel",IF(B118&lt;=Simulation!$F$12,Simulation!$E$33*Simulation!$F$8/12,PMT(Simulation!$F$8/12,Simulation!$F$10*12,-Simulation!$E$34)),IF(Simulation!$F$11="Amortissable différé total",IF(B118&lt;=Simulation!$F$12,0,PMT(Simulation!$F$8/12,Simulation!$F$10*12,-Simulation!$E$34)),IF(Simulation!$F$11="In fine",IF(B118=Simulation!$F$10*12,Simulation!$E$34,Simulation!$F$8*Simulation!$E$34/12),0)))),0)</f>
        <v>860.8610094454034</v>
      </c>
      <c r="H118" s="113">
        <f>Simulation!$C$16/12*(1+Simulation!$F$15)^INT((B118-1)/12)*(B118&lt;=Simulation!$F$24*12)</f>
        <v>1093.6852726843611</v>
      </c>
      <c r="I118" s="114">
        <f>(Simulation!$F$22-VLOOKUP(Simulation!$C$27,'Comparatif fiscal'!$B$8:$E$17,4,FALSE)-C118)*(B118=Simulation!$F$24*12)</f>
        <v>0</v>
      </c>
      <c r="J118" s="114">
        <f>(Simulation!$C$21+Simulation!$C$22)/12*(1+Simulation!$F$17)^INT((B118-1)/12)*(B118&lt;=Simulation!$F$24*12)</f>
        <v>136.71065908554513</v>
      </c>
      <c r="K118" s="114">
        <f>(H118*Simulation!$C$24+Simulation!$C$23/12*(1+Simulation!$F$15)^INT((B118-1)/12))*(B118&lt;=Simulation!$F$24*12)</f>
        <v>113.01414484405065</v>
      </c>
      <c r="L118" s="114">
        <f>Simulation!$C$19/12*(1+Simulation!$F$18)^INT((B118-1)/12)*(B118&lt;=Simulation!$F$24*12)</f>
        <v>54.684263634218055</v>
      </c>
      <c r="M118" s="114">
        <f>(Simulation!$C$20/12*(1+Simulation!$F$19)^INT((B118-1)/12)+F118)*(B118&lt;=Simulation!$F$24*12)</f>
        <v>38.847377272369677</v>
      </c>
      <c r="N118" s="114">
        <f ca="1">SUMIF('Détail fiscalité'!$B$8:$B$37,INT(B118/12),'Détail fiscalité'!$CI$8:$CI$37)/12+SUMIF('Détail fiscalité'!$B$8:$B$37,B118/12,'Détail fiscalité'!$CI$8:$CI$37)-SUMIF('Détail fiscalité'!$B$8:$B$37,B118/12-1,'Détail fiscalité'!$CI$8:$CI$37)</f>
        <v>0</v>
      </c>
      <c r="O118" s="116">
        <f t="shared" ca="1" si="18"/>
        <v>-110.43218159722574</v>
      </c>
    </row>
    <row r="119" spans="2:15" x14ac:dyDescent="0.15">
      <c r="B119" s="40">
        <f t="shared" si="17"/>
        <v>112</v>
      </c>
      <c r="C119" s="113">
        <f>IF(B119&lt;=MIN(Simulation!$F$10*12+Simulation!$F$12*OR(Simulation!$F$11="Amortissable différé partiel",Simulation!$F$11="Amortissable différé total"),Simulation!$F$24*12),IF(AND(B119&lt;=Simulation!$F$12,OR(Simulation!$F$11="Amortissable différé partiel",Simulation!$F$11="Amortissable différé total")),C118*(1+(Simulation!$F$11="Amortissable différé total")*Simulation!$F$8/12),C118-D119),0)</f>
        <v>101768.27740749851</v>
      </c>
      <c r="D119" s="114">
        <f>IF(B119&lt;=MIN(Simulation!$F$10*12+Simulation!$F$12*OR(Simulation!$F$11="Amortissable différé partiel",Simulation!$F$11="Amortissable différé total"),Simulation!$F$24*12),G119-E119,0)</f>
        <v>732.73474425571067</v>
      </c>
      <c r="E119" s="114">
        <f>IF(B119&lt;=MIN(Simulation!$F$10*12+Simulation!$F$12*OR(Simulation!$F$11="Amortissable différé partiel",Simulation!$F$11="Amortissable différé total"),Simulation!$F$24*12),IF(AND(B119&lt;=Simulation!$F$12,Simulation!$F$11="Amortissable différé total"),0,C118*Simulation!$F$8/12),0)</f>
        <v>128.12626518969276</v>
      </c>
      <c r="F119" s="114">
        <f>IF(B119&lt;=MIN(Simulation!$F$10*12+Simulation!$F$12*OR(Simulation!$F$11="Amortissable différé partiel",Simulation!$F$11="Amortissable différé total"),Simulation!$F$24*12),Simulation!$E$33*Simulation!$F$9/12,0)</f>
        <v>29.733333333333334</v>
      </c>
      <c r="G119" s="115">
        <f>IF(B119&lt;=MIN(Simulation!$F$10*12+Simulation!$F$12*OR(Simulation!$F$11="Amortissable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partiel",IF(B119&lt;=Simulation!$F$12,Simulation!$E$33*Simulation!$F$8/12,PMT(Simulation!$F$8/12,Simulation!$F$10*12,-Simulation!$E$34)),IF(Simulation!$F$11="Amortissable différé total",IF(B119&lt;=Simulation!$F$12,0,PMT(Simulation!$F$8/12,Simulation!$F$10*12,-Simulation!$E$34)),IF(Simulation!$F$11="In fine",IF(B119=Simulation!$F$10*12,Simulation!$E$34,Simulation!$F$8*Simulation!$E$34/12),0)))),0)</f>
        <v>860.8610094454034</v>
      </c>
      <c r="H119" s="113">
        <f>Simulation!$C$16/12*(1+Simulation!$F$15)^INT((B119-1)/12)*(B119&lt;=Simulation!$F$24*12)</f>
        <v>1093.6852726843611</v>
      </c>
      <c r="I119" s="114">
        <f>(Simulation!$F$22-VLOOKUP(Simulation!$C$27,'Comparatif fiscal'!$B$8:$E$17,4,FALSE)-C119)*(B119=Simulation!$F$24*12)</f>
        <v>0</v>
      </c>
      <c r="J119" s="114">
        <f>(Simulation!$C$21+Simulation!$C$22)/12*(1+Simulation!$F$17)^INT((B119-1)/12)*(B119&lt;=Simulation!$F$24*12)</f>
        <v>136.71065908554513</v>
      </c>
      <c r="K119" s="114">
        <f>(H119*Simulation!$C$24+Simulation!$C$23/12*(1+Simulation!$F$15)^INT((B119-1)/12))*(B119&lt;=Simulation!$F$24*12)</f>
        <v>113.01414484405065</v>
      </c>
      <c r="L119" s="114">
        <f>Simulation!$C$19/12*(1+Simulation!$F$18)^INT((B119-1)/12)*(B119&lt;=Simulation!$F$24*12)</f>
        <v>54.684263634218055</v>
      </c>
      <c r="M119" s="114">
        <f>(Simulation!$C$20/12*(1+Simulation!$F$19)^INT((B119-1)/12)+F119)*(B119&lt;=Simulation!$F$24*12)</f>
        <v>38.847377272369677</v>
      </c>
      <c r="N119" s="114">
        <f ca="1">SUMIF('Détail fiscalité'!$B$8:$B$37,INT(B119/12),'Détail fiscalité'!$CI$8:$CI$37)/12+SUMIF('Détail fiscalité'!$B$8:$B$37,B119/12,'Détail fiscalité'!$CI$8:$CI$37)-SUMIF('Détail fiscalité'!$B$8:$B$37,B119/12-1,'Détail fiscalité'!$CI$8:$CI$37)</f>
        <v>0</v>
      </c>
      <c r="O119" s="116">
        <f t="shared" ca="1" si="18"/>
        <v>-110.43218159722574</v>
      </c>
    </row>
    <row r="120" spans="2:15" x14ac:dyDescent="0.15">
      <c r="B120" s="40">
        <f t="shared" si="17"/>
        <v>113</v>
      </c>
      <c r="C120" s="113">
        <f>IF(B120&lt;=MIN(Simulation!$F$10*12+Simulation!$F$12*OR(Simulation!$F$11="Amortissable différé partiel",Simulation!$F$11="Amortissable différé total"),Simulation!$F$24*12),IF(AND(B120&lt;=Simulation!$F$12,OR(Simulation!$F$11="Amortissable différé partiel",Simulation!$F$11="Amortissable différé total")),C119*(1+(Simulation!$F$11="Amortissable différé total")*Simulation!$F$8/12),C119-D120),0)</f>
        <v>101034.62674481247</v>
      </c>
      <c r="D120" s="114">
        <f>IF(B120&lt;=MIN(Simulation!$F$10*12+Simulation!$F$12*OR(Simulation!$F$11="Amortissable différé partiel",Simulation!$F$11="Amortissable différé total"),Simulation!$F$24*12),G120-E120,0)</f>
        <v>733.65066268603027</v>
      </c>
      <c r="E120" s="114">
        <f>IF(B120&lt;=MIN(Simulation!$F$10*12+Simulation!$F$12*OR(Simulation!$F$11="Amortissable différé partiel",Simulation!$F$11="Amortissable différé total"),Simulation!$F$24*12),IF(AND(B120&lt;=Simulation!$F$12,Simulation!$F$11="Amortissable différé total"),0,C119*Simulation!$F$8/12),0)</f>
        <v>127.21034675937312</v>
      </c>
      <c r="F120" s="114">
        <f>IF(B120&lt;=MIN(Simulation!$F$10*12+Simulation!$F$12*OR(Simulation!$F$11="Amortissable différé partiel",Simulation!$F$11="Amortissable différé total"),Simulation!$F$24*12),Simulation!$E$33*Simulation!$F$9/12,0)</f>
        <v>29.733333333333334</v>
      </c>
      <c r="G120" s="115">
        <f>IF(B120&lt;=MIN(Simulation!$F$10*12+Simulation!$F$12*OR(Simulation!$F$11="Amortissable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partiel",IF(B120&lt;=Simulation!$F$12,Simulation!$E$33*Simulation!$F$8/12,PMT(Simulation!$F$8/12,Simulation!$F$10*12,-Simulation!$E$34)),IF(Simulation!$F$11="Amortissable différé total",IF(B120&lt;=Simulation!$F$12,0,PMT(Simulation!$F$8/12,Simulation!$F$10*12,-Simulation!$E$34)),IF(Simulation!$F$11="In fine",IF(B120=Simulation!$F$10*12,Simulation!$E$34,Simulation!$F$8*Simulation!$E$34/12),0)))),0)</f>
        <v>860.8610094454034</v>
      </c>
      <c r="H120" s="113">
        <f>Simulation!$C$16/12*(1+Simulation!$F$15)^INT((B120-1)/12)*(B120&lt;=Simulation!$F$24*12)</f>
        <v>1093.6852726843611</v>
      </c>
      <c r="I120" s="114">
        <f>(Simulation!$F$22-VLOOKUP(Simulation!$C$27,'Comparatif fiscal'!$B$8:$E$17,4,FALSE)-C120)*(B120=Simulation!$F$24*12)</f>
        <v>0</v>
      </c>
      <c r="J120" s="114">
        <f>(Simulation!$C$21+Simulation!$C$22)/12*(1+Simulation!$F$17)^INT((B120-1)/12)*(B120&lt;=Simulation!$F$24*12)</f>
        <v>136.71065908554513</v>
      </c>
      <c r="K120" s="114">
        <f>(H120*Simulation!$C$24+Simulation!$C$23/12*(1+Simulation!$F$15)^INT((B120-1)/12))*(B120&lt;=Simulation!$F$24*12)</f>
        <v>113.01414484405065</v>
      </c>
      <c r="L120" s="114">
        <f>Simulation!$C$19/12*(1+Simulation!$F$18)^INT((B120-1)/12)*(B120&lt;=Simulation!$F$24*12)</f>
        <v>54.684263634218055</v>
      </c>
      <c r="M120" s="114">
        <f>(Simulation!$C$20/12*(1+Simulation!$F$19)^INT((B120-1)/12)+F120)*(B120&lt;=Simulation!$F$24*12)</f>
        <v>38.847377272369677</v>
      </c>
      <c r="N120" s="114">
        <f ca="1">SUMIF('Détail fiscalité'!$B$8:$B$37,INT(B120/12),'Détail fiscalité'!$CI$8:$CI$37)/12+SUMIF('Détail fiscalité'!$B$8:$B$37,B120/12,'Détail fiscalité'!$CI$8:$CI$37)-SUMIF('Détail fiscalité'!$B$8:$B$37,B120/12-1,'Détail fiscalité'!$CI$8:$CI$37)</f>
        <v>0</v>
      </c>
      <c r="O120" s="116">
        <f t="shared" ca="1" si="18"/>
        <v>-110.43218159722574</v>
      </c>
    </row>
    <row r="121" spans="2:15" x14ac:dyDescent="0.15">
      <c r="B121" s="40">
        <f t="shared" si="17"/>
        <v>114</v>
      </c>
      <c r="C121" s="113">
        <f>IF(B121&lt;=MIN(Simulation!$F$10*12+Simulation!$F$12*OR(Simulation!$F$11="Amortissable différé partiel",Simulation!$F$11="Amortissable différé total"),Simulation!$F$24*12),IF(AND(B121&lt;=Simulation!$F$12,OR(Simulation!$F$11="Amortissable différé partiel",Simulation!$F$11="Amortissable différé total")),C120*(1+(Simulation!$F$11="Amortissable différé total")*Simulation!$F$8/12),C120-D121),0)</f>
        <v>100300.05901879809</v>
      </c>
      <c r="D121" s="114">
        <f>IF(B121&lt;=MIN(Simulation!$F$10*12+Simulation!$F$12*OR(Simulation!$F$11="Amortissable différé partiel",Simulation!$F$11="Amortissable différé total"),Simulation!$F$24*12),G121-E121,0)</f>
        <v>734.56772601438786</v>
      </c>
      <c r="E121" s="114">
        <f>IF(B121&lt;=MIN(Simulation!$F$10*12+Simulation!$F$12*OR(Simulation!$F$11="Amortissable différé partiel",Simulation!$F$11="Amortissable différé total"),Simulation!$F$24*12),IF(AND(B121&lt;=Simulation!$F$12,Simulation!$F$11="Amortissable différé total"),0,C120*Simulation!$F$8/12),0)</f>
        <v>126.29328343101558</v>
      </c>
      <c r="F121" s="114">
        <f>IF(B121&lt;=MIN(Simulation!$F$10*12+Simulation!$F$12*OR(Simulation!$F$11="Amortissable différé partiel",Simulation!$F$11="Amortissable différé total"),Simulation!$F$24*12),Simulation!$E$33*Simulation!$F$9/12,0)</f>
        <v>29.733333333333334</v>
      </c>
      <c r="G121" s="115">
        <f>IF(B121&lt;=MIN(Simulation!$F$10*12+Simulation!$F$12*OR(Simulation!$F$11="Amortissable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partiel",IF(B121&lt;=Simulation!$F$12,Simulation!$E$33*Simulation!$F$8/12,PMT(Simulation!$F$8/12,Simulation!$F$10*12,-Simulation!$E$34)),IF(Simulation!$F$11="Amortissable différé total",IF(B121&lt;=Simulation!$F$12,0,PMT(Simulation!$F$8/12,Simulation!$F$10*12,-Simulation!$E$34)),IF(Simulation!$F$11="In fine",IF(B121=Simulation!$F$10*12,Simulation!$E$34,Simulation!$F$8*Simulation!$E$34/12),0)))),0)</f>
        <v>860.8610094454034</v>
      </c>
      <c r="H121" s="113">
        <f>Simulation!$C$16/12*(1+Simulation!$F$15)^INT((B121-1)/12)*(B121&lt;=Simulation!$F$24*12)</f>
        <v>1093.6852726843611</v>
      </c>
      <c r="I121" s="114">
        <f>(Simulation!$F$22-VLOOKUP(Simulation!$C$27,'Comparatif fiscal'!$B$8:$E$17,4,FALSE)-C121)*(B121=Simulation!$F$24*12)</f>
        <v>0</v>
      </c>
      <c r="J121" s="114">
        <f>(Simulation!$C$21+Simulation!$C$22)/12*(1+Simulation!$F$17)^INT((B121-1)/12)*(B121&lt;=Simulation!$F$24*12)</f>
        <v>136.71065908554513</v>
      </c>
      <c r="K121" s="114">
        <f>(H121*Simulation!$C$24+Simulation!$C$23/12*(1+Simulation!$F$15)^INT((B121-1)/12))*(B121&lt;=Simulation!$F$24*12)</f>
        <v>113.01414484405065</v>
      </c>
      <c r="L121" s="114">
        <f>Simulation!$C$19/12*(1+Simulation!$F$18)^INT((B121-1)/12)*(B121&lt;=Simulation!$F$24*12)</f>
        <v>54.684263634218055</v>
      </c>
      <c r="M121" s="114">
        <f>(Simulation!$C$20/12*(1+Simulation!$F$19)^INT((B121-1)/12)+F121)*(B121&lt;=Simulation!$F$24*12)</f>
        <v>38.847377272369677</v>
      </c>
      <c r="N121" s="114">
        <f ca="1">SUMIF('Détail fiscalité'!$B$8:$B$37,INT(B121/12),'Détail fiscalité'!$CI$8:$CI$37)/12+SUMIF('Détail fiscalité'!$B$8:$B$37,B121/12,'Détail fiscalité'!$CI$8:$CI$37)-SUMIF('Détail fiscalité'!$B$8:$B$37,B121/12-1,'Détail fiscalité'!$CI$8:$CI$37)</f>
        <v>0</v>
      </c>
      <c r="O121" s="116">
        <f t="shared" ca="1" si="18"/>
        <v>-110.43218159722574</v>
      </c>
    </row>
    <row r="122" spans="2:15" x14ac:dyDescent="0.15">
      <c r="B122" s="40">
        <f t="shared" si="17"/>
        <v>115</v>
      </c>
      <c r="C122" s="113">
        <f>IF(B122&lt;=MIN(Simulation!$F$10*12+Simulation!$F$12*OR(Simulation!$F$11="Amortissable différé partiel",Simulation!$F$11="Amortissable différé total"),Simulation!$F$24*12),IF(AND(B122&lt;=Simulation!$F$12,OR(Simulation!$F$11="Amortissable différé partiel",Simulation!$F$11="Amortissable différé total")),C121*(1+(Simulation!$F$11="Amortissable différé total")*Simulation!$F$8/12),C121-D122),0)</f>
        <v>99564.573083126175</v>
      </c>
      <c r="D122" s="114">
        <f>IF(B122&lt;=MIN(Simulation!$F$10*12+Simulation!$F$12*OR(Simulation!$F$11="Amortissable différé partiel",Simulation!$F$11="Amortissable différé total"),Simulation!$F$24*12),G122-E122,0)</f>
        <v>735.48593567190574</v>
      </c>
      <c r="E122" s="114">
        <f>IF(B122&lt;=MIN(Simulation!$F$10*12+Simulation!$F$12*OR(Simulation!$F$11="Amortissable différé partiel",Simulation!$F$11="Amortissable différé total"),Simulation!$F$24*12),IF(AND(B122&lt;=Simulation!$F$12,Simulation!$F$11="Amortissable différé total"),0,C121*Simulation!$F$8/12),0)</f>
        <v>125.3750737734976</v>
      </c>
      <c r="F122" s="114">
        <f>IF(B122&lt;=MIN(Simulation!$F$10*12+Simulation!$F$12*OR(Simulation!$F$11="Amortissable différé partiel",Simulation!$F$11="Amortissable différé total"),Simulation!$F$24*12),Simulation!$E$33*Simulation!$F$9/12,0)</f>
        <v>29.733333333333334</v>
      </c>
      <c r="G122" s="115">
        <f>IF(B122&lt;=MIN(Simulation!$F$10*12+Simulation!$F$12*OR(Simulation!$F$11="Amortissable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partiel",IF(B122&lt;=Simulation!$F$12,Simulation!$E$33*Simulation!$F$8/12,PMT(Simulation!$F$8/12,Simulation!$F$10*12,-Simulation!$E$34)),IF(Simulation!$F$11="Amortissable différé total",IF(B122&lt;=Simulation!$F$12,0,PMT(Simulation!$F$8/12,Simulation!$F$10*12,-Simulation!$E$34)),IF(Simulation!$F$11="In fine",IF(B122=Simulation!$F$10*12,Simulation!$E$34,Simulation!$F$8*Simulation!$E$34/12),0)))),0)</f>
        <v>860.8610094454034</v>
      </c>
      <c r="H122" s="113">
        <f>Simulation!$C$16/12*(1+Simulation!$F$15)^INT((B122-1)/12)*(B122&lt;=Simulation!$F$24*12)</f>
        <v>1093.6852726843611</v>
      </c>
      <c r="I122" s="114">
        <f>(Simulation!$F$22-VLOOKUP(Simulation!$C$27,'Comparatif fiscal'!$B$8:$E$17,4,FALSE)-C122)*(B122=Simulation!$F$24*12)</f>
        <v>0</v>
      </c>
      <c r="J122" s="114">
        <f>(Simulation!$C$21+Simulation!$C$22)/12*(1+Simulation!$F$17)^INT((B122-1)/12)*(B122&lt;=Simulation!$F$24*12)</f>
        <v>136.71065908554513</v>
      </c>
      <c r="K122" s="114">
        <f>(H122*Simulation!$C$24+Simulation!$C$23/12*(1+Simulation!$F$15)^INT((B122-1)/12))*(B122&lt;=Simulation!$F$24*12)</f>
        <v>113.01414484405065</v>
      </c>
      <c r="L122" s="114">
        <f>Simulation!$C$19/12*(1+Simulation!$F$18)^INT((B122-1)/12)*(B122&lt;=Simulation!$F$24*12)</f>
        <v>54.684263634218055</v>
      </c>
      <c r="M122" s="114">
        <f>(Simulation!$C$20/12*(1+Simulation!$F$19)^INT((B122-1)/12)+F122)*(B122&lt;=Simulation!$F$24*12)</f>
        <v>38.847377272369677</v>
      </c>
      <c r="N122" s="114">
        <f ca="1">SUMIF('Détail fiscalité'!$B$8:$B$37,INT(B122/12),'Détail fiscalité'!$CI$8:$CI$37)/12+SUMIF('Détail fiscalité'!$B$8:$B$37,B122/12,'Détail fiscalité'!$CI$8:$CI$37)-SUMIF('Détail fiscalité'!$B$8:$B$37,B122/12-1,'Détail fiscalité'!$CI$8:$CI$37)</f>
        <v>0</v>
      </c>
      <c r="O122" s="116">
        <f t="shared" ca="1" si="18"/>
        <v>-110.43218159722574</v>
      </c>
    </row>
    <row r="123" spans="2:15" x14ac:dyDescent="0.15">
      <c r="B123" s="40">
        <f t="shared" si="17"/>
        <v>116</v>
      </c>
      <c r="C123" s="113">
        <f>IF(B123&lt;=MIN(Simulation!$F$10*12+Simulation!$F$12*OR(Simulation!$F$11="Amortissable différé partiel",Simulation!$F$11="Amortissable différé total"),Simulation!$F$24*12),IF(AND(B123&lt;=Simulation!$F$12,OR(Simulation!$F$11="Amortissable différé partiel",Simulation!$F$11="Amortissable différé total")),C122*(1+(Simulation!$F$11="Amortissable différé total")*Simulation!$F$8/12),C122-D123),0)</f>
        <v>98828.167790034684</v>
      </c>
      <c r="D123" s="114">
        <f>IF(B123&lt;=MIN(Simulation!$F$10*12+Simulation!$F$12*OR(Simulation!$F$11="Amortissable différé partiel",Simulation!$F$11="Amortissable différé total"),Simulation!$F$24*12),G123-E123,0)</f>
        <v>736.40529309149565</v>
      </c>
      <c r="E123" s="114">
        <f>IF(B123&lt;=MIN(Simulation!$F$10*12+Simulation!$F$12*OR(Simulation!$F$11="Amortissable différé partiel",Simulation!$F$11="Amortissable différé total"),Simulation!$F$24*12),IF(AND(B123&lt;=Simulation!$F$12,Simulation!$F$11="Amortissable différé total"),0,C122*Simulation!$F$8/12),0)</f>
        <v>124.4557163539077</v>
      </c>
      <c r="F123" s="114">
        <f>IF(B123&lt;=MIN(Simulation!$F$10*12+Simulation!$F$12*OR(Simulation!$F$11="Amortissable différé partiel",Simulation!$F$11="Amortissable différé total"),Simulation!$F$24*12),Simulation!$E$33*Simulation!$F$9/12,0)</f>
        <v>29.733333333333334</v>
      </c>
      <c r="G123" s="115">
        <f>IF(B123&lt;=MIN(Simulation!$F$10*12+Simulation!$F$12*OR(Simulation!$F$11="Amortissable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partiel",IF(B123&lt;=Simulation!$F$12,Simulation!$E$33*Simulation!$F$8/12,PMT(Simulation!$F$8/12,Simulation!$F$10*12,-Simulation!$E$34)),IF(Simulation!$F$11="Amortissable différé total",IF(B123&lt;=Simulation!$F$12,0,PMT(Simulation!$F$8/12,Simulation!$F$10*12,-Simulation!$E$34)),IF(Simulation!$F$11="In fine",IF(B123=Simulation!$F$10*12,Simulation!$E$34,Simulation!$F$8*Simulation!$E$34/12),0)))),0)</f>
        <v>860.8610094454034</v>
      </c>
      <c r="H123" s="113">
        <f>Simulation!$C$16/12*(1+Simulation!$F$15)^INT((B123-1)/12)*(B123&lt;=Simulation!$F$24*12)</f>
        <v>1093.6852726843611</v>
      </c>
      <c r="I123" s="114">
        <f>(Simulation!$F$22-VLOOKUP(Simulation!$C$27,'Comparatif fiscal'!$B$8:$E$17,4,FALSE)-C123)*(B123=Simulation!$F$24*12)</f>
        <v>0</v>
      </c>
      <c r="J123" s="114">
        <f>(Simulation!$C$21+Simulation!$C$22)/12*(1+Simulation!$F$17)^INT((B123-1)/12)*(B123&lt;=Simulation!$F$24*12)</f>
        <v>136.71065908554513</v>
      </c>
      <c r="K123" s="114">
        <f>(H123*Simulation!$C$24+Simulation!$C$23/12*(1+Simulation!$F$15)^INT((B123-1)/12))*(B123&lt;=Simulation!$F$24*12)</f>
        <v>113.01414484405065</v>
      </c>
      <c r="L123" s="114">
        <f>Simulation!$C$19/12*(1+Simulation!$F$18)^INT((B123-1)/12)*(B123&lt;=Simulation!$F$24*12)</f>
        <v>54.684263634218055</v>
      </c>
      <c r="M123" s="114">
        <f>(Simulation!$C$20/12*(1+Simulation!$F$19)^INT((B123-1)/12)+F123)*(B123&lt;=Simulation!$F$24*12)</f>
        <v>38.847377272369677</v>
      </c>
      <c r="N123" s="114">
        <f ca="1">SUMIF('Détail fiscalité'!$B$8:$B$37,INT(B123/12),'Détail fiscalité'!$CI$8:$CI$37)/12+SUMIF('Détail fiscalité'!$B$8:$B$37,B123/12,'Détail fiscalité'!$CI$8:$CI$37)-SUMIF('Détail fiscalité'!$B$8:$B$37,B123/12-1,'Détail fiscalité'!$CI$8:$CI$37)</f>
        <v>0</v>
      </c>
      <c r="O123" s="116">
        <f t="shared" ca="1" si="18"/>
        <v>-110.43218159722574</v>
      </c>
    </row>
    <row r="124" spans="2:15" x14ac:dyDescent="0.15">
      <c r="B124" s="40">
        <f t="shared" si="17"/>
        <v>117</v>
      </c>
      <c r="C124" s="113">
        <f>IF(B124&lt;=MIN(Simulation!$F$10*12+Simulation!$F$12*OR(Simulation!$F$11="Amortissable différé partiel",Simulation!$F$11="Amortissable différé total"),Simulation!$F$24*12),IF(AND(B124&lt;=Simulation!$F$12,OR(Simulation!$F$11="Amortissable différé partiel",Simulation!$F$11="Amortissable différé total")),C123*(1+(Simulation!$F$11="Amortissable différé total")*Simulation!$F$8/12),C123-D124),0)</f>
        <v>98090.841990326822</v>
      </c>
      <c r="D124" s="114">
        <f>IF(B124&lt;=MIN(Simulation!$F$10*12+Simulation!$F$12*OR(Simulation!$F$11="Amortissable différé partiel",Simulation!$F$11="Amortissable différé total"),Simulation!$F$24*12),G124-E124,0)</f>
        <v>737.32579970786003</v>
      </c>
      <c r="E124" s="114">
        <f>IF(B124&lt;=MIN(Simulation!$F$10*12+Simulation!$F$12*OR(Simulation!$F$11="Amortissable différé partiel",Simulation!$F$11="Amortissable différé total"),Simulation!$F$24*12),IF(AND(B124&lt;=Simulation!$F$12,Simulation!$F$11="Amortissable différé total"),0,C123*Simulation!$F$8/12),0)</f>
        <v>123.53520973754335</v>
      </c>
      <c r="F124" s="114">
        <f>IF(B124&lt;=MIN(Simulation!$F$10*12+Simulation!$F$12*OR(Simulation!$F$11="Amortissable différé partiel",Simulation!$F$11="Amortissable différé total"),Simulation!$F$24*12),Simulation!$E$33*Simulation!$F$9/12,0)</f>
        <v>29.733333333333334</v>
      </c>
      <c r="G124" s="115">
        <f>IF(B124&lt;=MIN(Simulation!$F$10*12+Simulation!$F$12*OR(Simulation!$F$11="Amortissable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partiel",IF(B124&lt;=Simulation!$F$12,Simulation!$E$33*Simulation!$F$8/12,PMT(Simulation!$F$8/12,Simulation!$F$10*12,-Simulation!$E$34)),IF(Simulation!$F$11="Amortissable différé total",IF(B124&lt;=Simulation!$F$12,0,PMT(Simulation!$F$8/12,Simulation!$F$10*12,-Simulation!$E$34)),IF(Simulation!$F$11="In fine",IF(B124=Simulation!$F$10*12,Simulation!$E$34,Simulation!$F$8*Simulation!$E$34/12),0)))),0)</f>
        <v>860.8610094454034</v>
      </c>
      <c r="H124" s="113">
        <f>Simulation!$C$16/12*(1+Simulation!$F$15)^INT((B124-1)/12)*(B124&lt;=Simulation!$F$24*12)</f>
        <v>1093.6852726843611</v>
      </c>
      <c r="I124" s="114">
        <f>(Simulation!$F$22-VLOOKUP(Simulation!$C$27,'Comparatif fiscal'!$B$8:$E$17,4,FALSE)-C124)*(B124=Simulation!$F$24*12)</f>
        <v>0</v>
      </c>
      <c r="J124" s="114">
        <f>(Simulation!$C$21+Simulation!$C$22)/12*(1+Simulation!$F$17)^INT((B124-1)/12)*(B124&lt;=Simulation!$F$24*12)</f>
        <v>136.71065908554513</v>
      </c>
      <c r="K124" s="114">
        <f>(H124*Simulation!$C$24+Simulation!$C$23/12*(1+Simulation!$F$15)^INT((B124-1)/12))*(B124&lt;=Simulation!$F$24*12)</f>
        <v>113.01414484405065</v>
      </c>
      <c r="L124" s="114">
        <f>Simulation!$C$19/12*(1+Simulation!$F$18)^INT((B124-1)/12)*(B124&lt;=Simulation!$F$24*12)</f>
        <v>54.684263634218055</v>
      </c>
      <c r="M124" s="114">
        <f>(Simulation!$C$20/12*(1+Simulation!$F$19)^INT((B124-1)/12)+F124)*(B124&lt;=Simulation!$F$24*12)</f>
        <v>38.847377272369677</v>
      </c>
      <c r="N124" s="114">
        <f ca="1">SUMIF('Détail fiscalité'!$B$8:$B$37,INT(B124/12),'Détail fiscalité'!$CI$8:$CI$37)/12+SUMIF('Détail fiscalité'!$B$8:$B$37,B124/12,'Détail fiscalité'!$CI$8:$CI$37)-SUMIF('Détail fiscalité'!$B$8:$B$37,B124/12-1,'Détail fiscalité'!$CI$8:$CI$37)</f>
        <v>0</v>
      </c>
      <c r="O124" s="116">
        <f t="shared" ca="1" si="18"/>
        <v>-110.43218159722574</v>
      </c>
    </row>
    <row r="125" spans="2:15" x14ac:dyDescent="0.15">
      <c r="B125" s="40">
        <f t="shared" si="17"/>
        <v>118</v>
      </c>
      <c r="C125" s="113">
        <f>IF(B125&lt;=MIN(Simulation!$F$10*12+Simulation!$F$12*OR(Simulation!$F$11="Amortissable différé partiel",Simulation!$F$11="Amortissable différé total"),Simulation!$F$24*12),IF(AND(B125&lt;=Simulation!$F$12,OR(Simulation!$F$11="Amortissable différé partiel",Simulation!$F$11="Amortissable différé total")),C124*(1+(Simulation!$F$11="Amortissable différé total")*Simulation!$F$8/12),C124-D125),0)</f>
        <v>97352.594533369323</v>
      </c>
      <c r="D125" s="114">
        <f>IF(B125&lt;=MIN(Simulation!$F$10*12+Simulation!$F$12*OR(Simulation!$F$11="Amortissable différé partiel",Simulation!$F$11="Amortissable différé total"),Simulation!$F$24*12),G125-E125,0)</f>
        <v>738.24745695749493</v>
      </c>
      <c r="E125" s="114">
        <f>IF(B125&lt;=MIN(Simulation!$F$10*12+Simulation!$F$12*OR(Simulation!$F$11="Amortissable différé partiel",Simulation!$F$11="Amortissable différé total"),Simulation!$F$24*12),IF(AND(B125&lt;=Simulation!$F$12,Simulation!$F$11="Amortissable différé total"),0,C124*Simulation!$F$8/12),0)</f>
        <v>122.61355248790852</v>
      </c>
      <c r="F125" s="114">
        <f>IF(B125&lt;=MIN(Simulation!$F$10*12+Simulation!$F$12*OR(Simulation!$F$11="Amortissable différé partiel",Simulation!$F$11="Amortissable différé total"),Simulation!$F$24*12),Simulation!$E$33*Simulation!$F$9/12,0)</f>
        <v>29.733333333333334</v>
      </c>
      <c r="G125" s="115">
        <f>IF(B125&lt;=MIN(Simulation!$F$10*12+Simulation!$F$12*OR(Simulation!$F$11="Amortissable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partiel",IF(B125&lt;=Simulation!$F$12,Simulation!$E$33*Simulation!$F$8/12,PMT(Simulation!$F$8/12,Simulation!$F$10*12,-Simulation!$E$34)),IF(Simulation!$F$11="Amortissable différé total",IF(B125&lt;=Simulation!$F$12,0,PMT(Simulation!$F$8/12,Simulation!$F$10*12,-Simulation!$E$34)),IF(Simulation!$F$11="In fine",IF(B125=Simulation!$F$10*12,Simulation!$E$34,Simulation!$F$8*Simulation!$E$34/12),0)))),0)</f>
        <v>860.8610094454034</v>
      </c>
      <c r="H125" s="113">
        <f>Simulation!$C$16/12*(1+Simulation!$F$15)^INT((B125-1)/12)*(B125&lt;=Simulation!$F$24*12)</f>
        <v>1093.6852726843611</v>
      </c>
      <c r="I125" s="114">
        <f>(Simulation!$F$22-VLOOKUP(Simulation!$C$27,'Comparatif fiscal'!$B$8:$E$17,4,FALSE)-C125)*(B125=Simulation!$F$24*12)</f>
        <v>0</v>
      </c>
      <c r="J125" s="114">
        <f>(Simulation!$C$21+Simulation!$C$22)/12*(1+Simulation!$F$17)^INT((B125-1)/12)*(B125&lt;=Simulation!$F$24*12)</f>
        <v>136.71065908554513</v>
      </c>
      <c r="K125" s="114">
        <f>(H125*Simulation!$C$24+Simulation!$C$23/12*(1+Simulation!$F$15)^INT((B125-1)/12))*(B125&lt;=Simulation!$F$24*12)</f>
        <v>113.01414484405065</v>
      </c>
      <c r="L125" s="114">
        <f>Simulation!$C$19/12*(1+Simulation!$F$18)^INT((B125-1)/12)*(B125&lt;=Simulation!$F$24*12)</f>
        <v>54.684263634218055</v>
      </c>
      <c r="M125" s="114">
        <f>(Simulation!$C$20/12*(1+Simulation!$F$19)^INT((B125-1)/12)+F125)*(B125&lt;=Simulation!$F$24*12)</f>
        <v>38.847377272369677</v>
      </c>
      <c r="N125" s="114">
        <f ca="1">SUMIF('Détail fiscalité'!$B$8:$B$37,INT(B125/12),'Détail fiscalité'!$CI$8:$CI$37)/12+SUMIF('Détail fiscalité'!$B$8:$B$37,B125/12,'Détail fiscalité'!$CI$8:$CI$37)-SUMIF('Détail fiscalité'!$B$8:$B$37,B125/12-1,'Détail fiscalité'!$CI$8:$CI$37)</f>
        <v>0</v>
      </c>
      <c r="O125" s="116">
        <f t="shared" ca="1" si="18"/>
        <v>-110.43218159722574</v>
      </c>
    </row>
    <row r="126" spans="2:15" x14ac:dyDescent="0.15">
      <c r="B126" s="40">
        <f t="shared" si="17"/>
        <v>119</v>
      </c>
      <c r="C126" s="113">
        <f>IF(B126&lt;=MIN(Simulation!$F$10*12+Simulation!$F$12*OR(Simulation!$F$11="Amortissable différé partiel",Simulation!$F$11="Amortissable différé total"),Simulation!$F$24*12),IF(AND(B126&lt;=Simulation!$F$12,OR(Simulation!$F$11="Amortissable différé partiel",Simulation!$F$11="Amortissable différé total")),C125*(1+(Simulation!$F$11="Amortissable différé total")*Simulation!$F$8/12),C125-D126),0)</f>
        <v>96613.424267090639</v>
      </c>
      <c r="D126" s="114">
        <f>IF(B126&lt;=MIN(Simulation!$F$10*12+Simulation!$F$12*OR(Simulation!$F$11="Amortissable différé partiel",Simulation!$F$11="Amortissable différé total"),Simulation!$F$24*12),G126-E126,0)</f>
        <v>739.17026627869177</v>
      </c>
      <c r="E126" s="114">
        <f>IF(B126&lt;=MIN(Simulation!$F$10*12+Simulation!$F$12*OR(Simulation!$F$11="Amortissable différé partiel",Simulation!$F$11="Amortissable différé total"),Simulation!$F$24*12),IF(AND(B126&lt;=Simulation!$F$12,Simulation!$F$11="Amortissable différé total"),0,C125*Simulation!$F$8/12),0)</f>
        <v>121.69074316671164</v>
      </c>
      <c r="F126" s="114">
        <f>IF(B126&lt;=MIN(Simulation!$F$10*12+Simulation!$F$12*OR(Simulation!$F$11="Amortissable différé partiel",Simulation!$F$11="Amortissable différé total"),Simulation!$F$24*12),Simulation!$E$33*Simulation!$F$9/12,0)</f>
        <v>29.733333333333334</v>
      </c>
      <c r="G126" s="115">
        <f>IF(B126&lt;=MIN(Simulation!$F$10*12+Simulation!$F$12*OR(Simulation!$F$11="Amortissable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partiel",IF(B126&lt;=Simulation!$F$12,Simulation!$E$33*Simulation!$F$8/12,PMT(Simulation!$F$8/12,Simulation!$F$10*12,-Simulation!$E$34)),IF(Simulation!$F$11="Amortissable différé total",IF(B126&lt;=Simulation!$F$12,0,PMT(Simulation!$F$8/12,Simulation!$F$10*12,-Simulation!$E$34)),IF(Simulation!$F$11="In fine",IF(B126=Simulation!$F$10*12,Simulation!$E$34,Simulation!$F$8*Simulation!$E$34/12),0)))),0)</f>
        <v>860.8610094454034</v>
      </c>
      <c r="H126" s="113">
        <f>Simulation!$C$16/12*(1+Simulation!$F$15)^INT((B126-1)/12)*(B126&lt;=Simulation!$F$24*12)</f>
        <v>1093.6852726843611</v>
      </c>
      <c r="I126" s="114">
        <f>(Simulation!$F$22-VLOOKUP(Simulation!$C$27,'Comparatif fiscal'!$B$8:$E$17,4,FALSE)-C126)*(B126=Simulation!$F$24*12)</f>
        <v>0</v>
      </c>
      <c r="J126" s="114">
        <f>(Simulation!$C$21+Simulation!$C$22)/12*(1+Simulation!$F$17)^INT((B126-1)/12)*(B126&lt;=Simulation!$F$24*12)</f>
        <v>136.71065908554513</v>
      </c>
      <c r="K126" s="114">
        <f>(H126*Simulation!$C$24+Simulation!$C$23/12*(1+Simulation!$F$15)^INT((B126-1)/12))*(B126&lt;=Simulation!$F$24*12)</f>
        <v>113.01414484405065</v>
      </c>
      <c r="L126" s="114">
        <f>Simulation!$C$19/12*(1+Simulation!$F$18)^INT((B126-1)/12)*(B126&lt;=Simulation!$F$24*12)</f>
        <v>54.684263634218055</v>
      </c>
      <c r="M126" s="114">
        <f>(Simulation!$C$20/12*(1+Simulation!$F$19)^INT((B126-1)/12)+F126)*(B126&lt;=Simulation!$F$24*12)</f>
        <v>38.847377272369677</v>
      </c>
      <c r="N126" s="114">
        <f ca="1">SUMIF('Détail fiscalité'!$B$8:$B$37,INT(B126/12),'Détail fiscalité'!$CI$8:$CI$37)/12+SUMIF('Détail fiscalité'!$B$8:$B$37,B126/12,'Détail fiscalité'!$CI$8:$CI$37)-SUMIF('Détail fiscalité'!$B$8:$B$37,B126/12-1,'Détail fiscalité'!$CI$8:$CI$37)</f>
        <v>0</v>
      </c>
      <c r="O126" s="116">
        <f t="shared" ca="1" si="18"/>
        <v>-110.43218159722574</v>
      </c>
    </row>
    <row r="127" spans="2:15" x14ac:dyDescent="0.15">
      <c r="B127" s="40">
        <f t="shared" si="17"/>
        <v>120</v>
      </c>
      <c r="C127" s="113">
        <f>IF(B127&lt;=MIN(Simulation!$F$10*12+Simulation!$F$12*OR(Simulation!$F$11="Amortissable différé partiel",Simulation!$F$11="Amortissable différé total"),Simulation!$F$24*12),IF(AND(B127&lt;=Simulation!$F$12,OR(Simulation!$F$11="Amortissable différé partiel",Simulation!$F$11="Amortissable différé total")),C126*(1+(Simulation!$F$11="Amortissable différé total")*Simulation!$F$8/12),C126-D127),0)</f>
        <v>95873.330037979104</v>
      </c>
      <c r="D127" s="114">
        <f>IF(B127&lt;=MIN(Simulation!$F$10*12+Simulation!$F$12*OR(Simulation!$F$11="Amortissable différé partiel",Simulation!$F$11="Amortissable différé total"),Simulation!$F$24*12),G127-E127,0)</f>
        <v>740.09422911154013</v>
      </c>
      <c r="E127" s="114">
        <f>IF(B127&lt;=MIN(Simulation!$F$10*12+Simulation!$F$12*OR(Simulation!$F$11="Amortissable différé partiel",Simulation!$F$11="Amortissable différé total"),Simulation!$F$24*12),IF(AND(B127&lt;=Simulation!$F$12,Simulation!$F$11="Amortissable différé total"),0,C126*Simulation!$F$8/12),0)</f>
        <v>120.76678033386328</v>
      </c>
      <c r="F127" s="114">
        <f>IF(B127&lt;=MIN(Simulation!$F$10*12+Simulation!$F$12*OR(Simulation!$F$11="Amortissable différé partiel",Simulation!$F$11="Amortissable différé total"),Simulation!$F$24*12),Simulation!$E$33*Simulation!$F$9/12,0)</f>
        <v>29.733333333333334</v>
      </c>
      <c r="G127" s="115">
        <f>IF(B127&lt;=MIN(Simulation!$F$10*12+Simulation!$F$12*OR(Simulation!$F$11="Amortissable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partiel",IF(B127&lt;=Simulation!$F$12,Simulation!$E$33*Simulation!$F$8/12,PMT(Simulation!$F$8/12,Simulation!$F$10*12,-Simulation!$E$34)),IF(Simulation!$F$11="Amortissable différé total",IF(B127&lt;=Simulation!$F$12,0,PMT(Simulation!$F$8/12,Simulation!$F$10*12,-Simulation!$E$34)),IF(Simulation!$F$11="In fine",IF(B127=Simulation!$F$10*12,Simulation!$E$34,Simulation!$F$8*Simulation!$E$34/12),0)))),0)</f>
        <v>860.8610094454034</v>
      </c>
      <c r="H127" s="113">
        <f>Simulation!$C$16/12*(1+Simulation!$F$15)^INT((B127-1)/12)*(B127&lt;=Simulation!$F$24*12)</f>
        <v>1093.6852726843611</v>
      </c>
      <c r="I127" s="114">
        <f>(Simulation!$F$22-VLOOKUP(Simulation!$C$27,'Comparatif fiscal'!$B$8:$E$17,4,FALSE)-C127)*(B127=Simulation!$F$24*12)</f>
        <v>0</v>
      </c>
      <c r="J127" s="114">
        <f>(Simulation!$C$21+Simulation!$C$22)/12*(1+Simulation!$F$17)^INT((B127-1)/12)*(B127&lt;=Simulation!$F$24*12)</f>
        <v>136.71065908554513</v>
      </c>
      <c r="K127" s="114">
        <f>(H127*Simulation!$C$24+Simulation!$C$23/12*(1+Simulation!$F$15)^INT((B127-1)/12))*(B127&lt;=Simulation!$F$24*12)</f>
        <v>113.01414484405065</v>
      </c>
      <c r="L127" s="114">
        <f>Simulation!$C$19/12*(1+Simulation!$F$18)^INT((B127-1)/12)*(B127&lt;=Simulation!$F$24*12)</f>
        <v>54.684263634218055</v>
      </c>
      <c r="M127" s="114">
        <f>(Simulation!$C$20/12*(1+Simulation!$F$19)^INT((B127-1)/12)+F127)*(B127&lt;=Simulation!$F$24*12)</f>
        <v>38.847377272369677</v>
      </c>
      <c r="N127" s="114">
        <f ca="1">SUMIF('Détail fiscalité'!$B$8:$B$37,INT(B127/12),'Détail fiscalité'!$CI$8:$CI$37)/12+SUMIF('Détail fiscalité'!$B$8:$B$37,B127/12,'Détail fiscalité'!$CI$8:$CI$37)-SUMIF('Détail fiscalité'!$B$8:$B$37,B127/12-1,'Détail fiscalité'!$CI$8:$CI$37)</f>
        <v>0</v>
      </c>
      <c r="O127" s="116">
        <f t="shared" ca="1" si="18"/>
        <v>-110.43218159722574</v>
      </c>
    </row>
    <row r="128" spans="2:15" x14ac:dyDescent="0.15">
      <c r="B128" s="40">
        <f t="shared" si="17"/>
        <v>121</v>
      </c>
      <c r="C128" s="113">
        <f>IF(B128&lt;=MIN(Simulation!$F$10*12+Simulation!$F$12*OR(Simulation!$F$11="Amortissable différé partiel",Simulation!$F$11="Amortissable différé total"),Simulation!$F$24*12),IF(AND(B128&lt;=Simulation!$F$12,OR(Simulation!$F$11="Amortissable différé partiel",Simulation!$F$11="Amortissable différé total")),C127*(1+(Simulation!$F$11="Amortissable différé total")*Simulation!$F$8/12),C127-D128),0)</f>
        <v>95132.310691081177</v>
      </c>
      <c r="D128" s="114">
        <f>IF(B128&lt;=MIN(Simulation!$F$10*12+Simulation!$F$12*OR(Simulation!$F$11="Amortissable différé partiel",Simulation!$F$11="Amortissable différé total"),Simulation!$F$24*12),G128-E128,0)</f>
        <v>741.01934689792949</v>
      </c>
      <c r="E128" s="114">
        <f>IF(B128&lt;=MIN(Simulation!$F$10*12+Simulation!$F$12*OR(Simulation!$F$11="Amortissable différé partiel",Simulation!$F$11="Amortissable différé total"),Simulation!$F$24*12),IF(AND(B128&lt;=Simulation!$F$12,Simulation!$F$11="Amortissable différé total"),0,C127*Simulation!$F$8/12),0)</f>
        <v>119.84166254747389</v>
      </c>
      <c r="F128" s="114">
        <f>IF(B128&lt;=MIN(Simulation!$F$10*12+Simulation!$F$12*OR(Simulation!$F$11="Amortissable différé partiel",Simulation!$F$11="Amortissable différé total"),Simulation!$F$24*12),Simulation!$E$33*Simulation!$F$9/12,0)</f>
        <v>29.733333333333334</v>
      </c>
      <c r="G128" s="115">
        <f>IF(B128&lt;=MIN(Simulation!$F$10*12+Simulation!$F$12*OR(Simulation!$F$11="Amortissable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partiel",IF(B128&lt;=Simulation!$F$12,Simulation!$E$33*Simulation!$F$8/12,PMT(Simulation!$F$8/12,Simulation!$F$10*12,-Simulation!$E$34)),IF(Simulation!$F$11="Amortissable différé total",IF(B128&lt;=Simulation!$F$12,0,PMT(Simulation!$F$8/12,Simulation!$F$10*12,-Simulation!$E$34)),IF(Simulation!$F$11="In fine",IF(B128=Simulation!$F$10*12,Simulation!$E$34,Simulation!$F$8*Simulation!$E$34/12),0)))),0)</f>
        <v>860.8610094454034</v>
      </c>
      <c r="H128" s="113">
        <f>Simulation!$C$16/12*(1+Simulation!$F$15)^INT((B128-1)/12)*(B128&lt;=Simulation!$F$24*12)</f>
        <v>1104.6221254112047</v>
      </c>
      <c r="I128" s="114">
        <f>(Simulation!$F$22-VLOOKUP(Simulation!$C$27,'Comparatif fiscal'!$B$8:$E$17,4,FALSE)-C128)*(B128=Simulation!$F$24*12)</f>
        <v>0</v>
      </c>
      <c r="J128" s="114">
        <f>(Simulation!$C$21+Simulation!$C$22)/12*(1+Simulation!$F$17)^INT((B128-1)/12)*(B128&lt;=Simulation!$F$24*12)</f>
        <v>138.07776567640059</v>
      </c>
      <c r="K128" s="114">
        <f>(H128*Simulation!$C$24+Simulation!$C$23/12*(1+Simulation!$F$15)^INT((B128-1)/12))*(B128&lt;=Simulation!$F$24*12)</f>
        <v>114.14428629249116</v>
      </c>
      <c r="L128" s="114">
        <f>Simulation!$C$19/12*(1+Simulation!$F$18)^INT((B128-1)/12)*(B128&lt;=Simulation!$F$24*12)</f>
        <v>55.23110627056024</v>
      </c>
      <c r="M128" s="114">
        <f>(Simulation!$C$20/12*(1+Simulation!$F$19)^INT((B128-1)/12)+F128)*(B128&lt;=Simulation!$F$24*12)</f>
        <v>38.938517711760042</v>
      </c>
      <c r="N128" s="114">
        <f ca="1">SUMIF('Détail fiscalité'!$B$8:$B$37,INT(B128/12),'Détail fiscalité'!$CI$8:$CI$37)/12+SUMIF('Détail fiscalité'!$B$8:$B$37,B128/12,'Détail fiscalité'!$CI$8:$CI$37)-SUMIF('Détail fiscalité'!$B$8:$B$37,B128/12-1,'Détail fiscalité'!$CI$8:$CI$37)</f>
        <v>0</v>
      </c>
      <c r="O128" s="116">
        <f t="shared" ca="1" si="18"/>
        <v>-102.63055998541086</v>
      </c>
    </row>
    <row r="129" spans="2:15" x14ac:dyDescent="0.15">
      <c r="B129" s="40">
        <f t="shared" si="17"/>
        <v>122</v>
      </c>
      <c r="C129" s="113">
        <f>IF(B129&lt;=MIN(Simulation!$F$10*12+Simulation!$F$12*OR(Simulation!$F$11="Amortissable différé partiel",Simulation!$F$11="Amortissable différé total"),Simulation!$F$24*12),IF(AND(B129&lt;=Simulation!$F$12,OR(Simulation!$F$11="Amortissable différé partiel",Simulation!$F$11="Amortissable différé total")),C128*(1+(Simulation!$F$11="Amortissable différé total")*Simulation!$F$8/12),C128-D129),0)</f>
        <v>94390.365069999621</v>
      </c>
      <c r="D129" s="114">
        <f>IF(B129&lt;=MIN(Simulation!$F$10*12+Simulation!$F$12*OR(Simulation!$F$11="Amortissable différé partiel",Simulation!$F$11="Amortissable différé total"),Simulation!$F$24*12),G129-E129,0)</f>
        <v>741.94562108155196</v>
      </c>
      <c r="E129" s="114">
        <f>IF(B129&lt;=MIN(Simulation!$F$10*12+Simulation!$F$12*OR(Simulation!$F$11="Amortissable différé partiel",Simulation!$F$11="Amortissable différé total"),Simulation!$F$24*12),IF(AND(B129&lt;=Simulation!$F$12,Simulation!$F$11="Amortissable différé total"),0,C128*Simulation!$F$8/12),0)</f>
        <v>118.91538836385148</v>
      </c>
      <c r="F129" s="114">
        <f>IF(B129&lt;=MIN(Simulation!$F$10*12+Simulation!$F$12*OR(Simulation!$F$11="Amortissable différé partiel",Simulation!$F$11="Amortissable différé total"),Simulation!$F$24*12),Simulation!$E$33*Simulation!$F$9/12,0)</f>
        <v>29.733333333333334</v>
      </c>
      <c r="G129" s="115">
        <f>IF(B129&lt;=MIN(Simulation!$F$10*12+Simulation!$F$12*OR(Simulation!$F$11="Amortissable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partiel",IF(B129&lt;=Simulation!$F$12,Simulation!$E$33*Simulation!$F$8/12,PMT(Simulation!$F$8/12,Simulation!$F$10*12,-Simulation!$E$34)),IF(Simulation!$F$11="Amortissable différé total",IF(B129&lt;=Simulation!$F$12,0,PMT(Simulation!$F$8/12,Simulation!$F$10*12,-Simulation!$E$34)),IF(Simulation!$F$11="In fine",IF(B129=Simulation!$F$10*12,Simulation!$E$34,Simulation!$F$8*Simulation!$E$34/12),0)))),0)</f>
        <v>860.8610094454034</v>
      </c>
      <c r="H129" s="113">
        <f>Simulation!$C$16/12*(1+Simulation!$F$15)^INT((B129-1)/12)*(B129&lt;=Simulation!$F$24*12)</f>
        <v>1104.6221254112047</v>
      </c>
      <c r="I129" s="114">
        <f>(Simulation!$F$22-VLOOKUP(Simulation!$C$27,'Comparatif fiscal'!$B$8:$E$17,4,FALSE)-C129)*(B129=Simulation!$F$24*12)</f>
        <v>0</v>
      </c>
      <c r="J129" s="114">
        <f>(Simulation!$C$21+Simulation!$C$22)/12*(1+Simulation!$F$17)^INT((B129-1)/12)*(B129&lt;=Simulation!$F$24*12)</f>
        <v>138.07776567640059</v>
      </c>
      <c r="K129" s="114">
        <f>(H129*Simulation!$C$24+Simulation!$C$23/12*(1+Simulation!$F$15)^INT((B129-1)/12))*(B129&lt;=Simulation!$F$24*12)</f>
        <v>114.14428629249116</v>
      </c>
      <c r="L129" s="114">
        <f>Simulation!$C$19/12*(1+Simulation!$F$18)^INT((B129-1)/12)*(B129&lt;=Simulation!$F$24*12)</f>
        <v>55.23110627056024</v>
      </c>
      <c r="M129" s="114">
        <f>(Simulation!$C$20/12*(1+Simulation!$F$19)^INT((B129-1)/12)+F129)*(B129&lt;=Simulation!$F$24*12)</f>
        <v>38.938517711760042</v>
      </c>
      <c r="N129" s="114">
        <f ca="1">SUMIF('Détail fiscalité'!$B$8:$B$37,INT(B129/12),'Détail fiscalité'!$CI$8:$CI$37)/12+SUMIF('Détail fiscalité'!$B$8:$B$37,B129/12,'Détail fiscalité'!$CI$8:$CI$37)-SUMIF('Détail fiscalité'!$B$8:$B$37,B129/12-1,'Détail fiscalité'!$CI$8:$CI$37)</f>
        <v>0</v>
      </c>
      <c r="O129" s="116">
        <f t="shared" ca="1" si="18"/>
        <v>-102.63055998541086</v>
      </c>
    </row>
    <row r="130" spans="2:15" x14ac:dyDescent="0.15">
      <c r="B130" s="40">
        <f t="shared" si="17"/>
        <v>123</v>
      </c>
      <c r="C130" s="113">
        <f>IF(B130&lt;=MIN(Simulation!$F$10*12+Simulation!$F$12*OR(Simulation!$F$11="Amortissable différé partiel",Simulation!$F$11="Amortissable différé total"),Simulation!$F$24*12),IF(AND(B130&lt;=Simulation!$F$12,OR(Simulation!$F$11="Amortissable différé partiel",Simulation!$F$11="Amortissable différé total")),C129*(1+(Simulation!$F$11="Amortissable différé total")*Simulation!$F$8/12),C129-D130),0)</f>
        <v>93647.492016891716</v>
      </c>
      <c r="D130" s="114">
        <f>IF(B130&lt;=MIN(Simulation!$F$10*12+Simulation!$F$12*OR(Simulation!$F$11="Amortissable différé partiel",Simulation!$F$11="Amortissable différé total"),Simulation!$F$24*12),G130-E130,0)</f>
        <v>742.87305310790384</v>
      </c>
      <c r="E130" s="114">
        <f>IF(B130&lt;=MIN(Simulation!$F$10*12+Simulation!$F$12*OR(Simulation!$F$11="Amortissable différé partiel",Simulation!$F$11="Amortissable différé total"),Simulation!$F$24*12),IF(AND(B130&lt;=Simulation!$F$12,Simulation!$F$11="Amortissable différé total"),0,C129*Simulation!$F$8/12),0)</f>
        <v>117.98795633749951</v>
      </c>
      <c r="F130" s="114">
        <f>IF(B130&lt;=MIN(Simulation!$F$10*12+Simulation!$F$12*OR(Simulation!$F$11="Amortissable différé partiel",Simulation!$F$11="Amortissable différé total"),Simulation!$F$24*12),Simulation!$E$33*Simulation!$F$9/12,0)</f>
        <v>29.733333333333334</v>
      </c>
      <c r="G130" s="115">
        <f>IF(B130&lt;=MIN(Simulation!$F$10*12+Simulation!$F$12*OR(Simulation!$F$11="Amortissable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partiel",IF(B130&lt;=Simulation!$F$12,Simulation!$E$33*Simulation!$F$8/12,PMT(Simulation!$F$8/12,Simulation!$F$10*12,-Simulation!$E$34)),IF(Simulation!$F$11="Amortissable différé total",IF(B130&lt;=Simulation!$F$12,0,PMT(Simulation!$F$8/12,Simulation!$F$10*12,-Simulation!$E$34)),IF(Simulation!$F$11="In fine",IF(B130=Simulation!$F$10*12,Simulation!$E$34,Simulation!$F$8*Simulation!$E$34/12),0)))),0)</f>
        <v>860.8610094454034</v>
      </c>
      <c r="H130" s="113">
        <f>Simulation!$C$16/12*(1+Simulation!$F$15)^INT((B130-1)/12)*(B130&lt;=Simulation!$F$24*12)</f>
        <v>1104.6221254112047</v>
      </c>
      <c r="I130" s="114">
        <f>(Simulation!$F$22-VLOOKUP(Simulation!$C$27,'Comparatif fiscal'!$B$8:$E$17,4,FALSE)-C130)*(B130=Simulation!$F$24*12)</f>
        <v>0</v>
      </c>
      <c r="J130" s="114">
        <f>(Simulation!$C$21+Simulation!$C$22)/12*(1+Simulation!$F$17)^INT((B130-1)/12)*(B130&lt;=Simulation!$F$24*12)</f>
        <v>138.07776567640059</v>
      </c>
      <c r="K130" s="114">
        <f>(H130*Simulation!$C$24+Simulation!$C$23/12*(1+Simulation!$F$15)^INT((B130-1)/12))*(B130&lt;=Simulation!$F$24*12)</f>
        <v>114.14428629249116</v>
      </c>
      <c r="L130" s="114">
        <f>Simulation!$C$19/12*(1+Simulation!$F$18)^INT((B130-1)/12)*(B130&lt;=Simulation!$F$24*12)</f>
        <v>55.23110627056024</v>
      </c>
      <c r="M130" s="114">
        <f>(Simulation!$C$20/12*(1+Simulation!$F$19)^INT((B130-1)/12)+F130)*(B130&lt;=Simulation!$F$24*12)</f>
        <v>38.938517711760042</v>
      </c>
      <c r="N130" s="114">
        <f ca="1">SUMIF('Détail fiscalité'!$B$8:$B$37,INT(B130/12),'Détail fiscalité'!$CI$8:$CI$37)/12+SUMIF('Détail fiscalité'!$B$8:$B$37,B130/12,'Détail fiscalité'!$CI$8:$CI$37)-SUMIF('Détail fiscalité'!$B$8:$B$37,B130/12-1,'Détail fiscalité'!$CI$8:$CI$37)</f>
        <v>0</v>
      </c>
      <c r="O130" s="116">
        <f t="shared" ca="1" si="18"/>
        <v>-102.63055998541086</v>
      </c>
    </row>
    <row r="131" spans="2:15" x14ac:dyDescent="0.15">
      <c r="B131" s="40">
        <f t="shared" si="17"/>
        <v>124</v>
      </c>
      <c r="C131" s="113">
        <f>IF(B131&lt;=MIN(Simulation!$F$10*12+Simulation!$F$12*OR(Simulation!$F$11="Amortissable différé partiel",Simulation!$F$11="Amortissable différé total"),Simulation!$F$24*12),IF(AND(B131&lt;=Simulation!$F$12,OR(Simulation!$F$11="Amortissable différé partiel",Simulation!$F$11="Amortissable différé total")),C130*(1+(Simulation!$F$11="Amortissable différé total")*Simulation!$F$8/12),C130-D131),0)</f>
        <v>92903.690372467434</v>
      </c>
      <c r="D131" s="114">
        <f>IF(B131&lt;=MIN(Simulation!$F$10*12+Simulation!$F$12*OR(Simulation!$F$11="Amortissable différé partiel",Simulation!$F$11="Amortissable différé total"),Simulation!$F$24*12),G131-E131,0)</f>
        <v>743.80164442428872</v>
      </c>
      <c r="E131" s="114">
        <f>IF(B131&lt;=MIN(Simulation!$F$10*12+Simulation!$F$12*OR(Simulation!$F$11="Amortissable différé partiel",Simulation!$F$11="Amortissable différé total"),Simulation!$F$24*12),IF(AND(B131&lt;=Simulation!$F$12,Simulation!$F$11="Amortissable différé total"),0,C130*Simulation!$F$8/12),0)</f>
        <v>117.05936502111463</v>
      </c>
      <c r="F131" s="114">
        <f>IF(B131&lt;=MIN(Simulation!$F$10*12+Simulation!$F$12*OR(Simulation!$F$11="Amortissable différé partiel",Simulation!$F$11="Amortissable différé total"),Simulation!$F$24*12),Simulation!$E$33*Simulation!$F$9/12,0)</f>
        <v>29.733333333333334</v>
      </c>
      <c r="G131" s="115">
        <f>IF(B131&lt;=MIN(Simulation!$F$10*12+Simulation!$F$12*OR(Simulation!$F$11="Amortissable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partiel",IF(B131&lt;=Simulation!$F$12,Simulation!$E$33*Simulation!$F$8/12,PMT(Simulation!$F$8/12,Simulation!$F$10*12,-Simulation!$E$34)),IF(Simulation!$F$11="Amortissable différé total",IF(B131&lt;=Simulation!$F$12,0,PMT(Simulation!$F$8/12,Simulation!$F$10*12,-Simulation!$E$34)),IF(Simulation!$F$11="In fine",IF(B131=Simulation!$F$10*12,Simulation!$E$34,Simulation!$F$8*Simulation!$E$34/12),0)))),0)</f>
        <v>860.8610094454034</v>
      </c>
      <c r="H131" s="113">
        <f>Simulation!$C$16/12*(1+Simulation!$F$15)^INT((B131-1)/12)*(B131&lt;=Simulation!$F$24*12)</f>
        <v>1104.6221254112047</v>
      </c>
      <c r="I131" s="114">
        <f>(Simulation!$F$22-VLOOKUP(Simulation!$C$27,'Comparatif fiscal'!$B$8:$E$17,4,FALSE)-C131)*(B131=Simulation!$F$24*12)</f>
        <v>0</v>
      </c>
      <c r="J131" s="114">
        <f>(Simulation!$C$21+Simulation!$C$22)/12*(1+Simulation!$F$17)^INT((B131-1)/12)*(B131&lt;=Simulation!$F$24*12)</f>
        <v>138.07776567640059</v>
      </c>
      <c r="K131" s="114">
        <f>(H131*Simulation!$C$24+Simulation!$C$23/12*(1+Simulation!$F$15)^INT((B131-1)/12))*(B131&lt;=Simulation!$F$24*12)</f>
        <v>114.14428629249116</v>
      </c>
      <c r="L131" s="114">
        <f>Simulation!$C$19/12*(1+Simulation!$F$18)^INT((B131-1)/12)*(B131&lt;=Simulation!$F$24*12)</f>
        <v>55.23110627056024</v>
      </c>
      <c r="M131" s="114">
        <f>(Simulation!$C$20/12*(1+Simulation!$F$19)^INT((B131-1)/12)+F131)*(B131&lt;=Simulation!$F$24*12)</f>
        <v>38.938517711760042</v>
      </c>
      <c r="N131" s="114">
        <f ca="1">SUMIF('Détail fiscalité'!$B$8:$B$37,INT(B131/12),'Détail fiscalité'!$CI$8:$CI$37)/12+SUMIF('Détail fiscalité'!$B$8:$B$37,B131/12,'Détail fiscalité'!$CI$8:$CI$37)-SUMIF('Détail fiscalité'!$B$8:$B$37,B131/12-1,'Détail fiscalité'!$CI$8:$CI$37)</f>
        <v>0</v>
      </c>
      <c r="O131" s="116">
        <f t="shared" ca="1" si="18"/>
        <v>-102.63055998541086</v>
      </c>
    </row>
    <row r="132" spans="2:15" x14ac:dyDescent="0.15">
      <c r="B132" s="40">
        <f t="shared" si="17"/>
        <v>125</v>
      </c>
      <c r="C132" s="113">
        <f>IF(B132&lt;=MIN(Simulation!$F$10*12+Simulation!$F$12*OR(Simulation!$F$11="Amortissable différé partiel",Simulation!$F$11="Amortissable différé total"),Simulation!$F$24*12),IF(AND(B132&lt;=Simulation!$F$12,OR(Simulation!$F$11="Amortissable différé partiel",Simulation!$F$11="Amortissable différé total")),C131*(1+(Simulation!$F$11="Amortissable différé total")*Simulation!$F$8/12),C131-D132),0)</f>
        <v>92158.958975987611</v>
      </c>
      <c r="D132" s="114">
        <f>IF(B132&lt;=MIN(Simulation!$F$10*12+Simulation!$F$12*OR(Simulation!$F$11="Amortissable différé partiel",Simulation!$F$11="Amortissable différé total"),Simulation!$F$24*12),G132-E132,0)</f>
        <v>744.73139647981907</v>
      </c>
      <c r="E132" s="114">
        <f>IF(B132&lt;=MIN(Simulation!$F$10*12+Simulation!$F$12*OR(Simulation!$F$11="Amortissable différé partiel",Simulation!$F$11="Amortissable différé total"),Simulation!$F$24*12),IF(AND(B132&lt;=Simulation!$F$12,Simulation!$F$11="Amortissable différé total"),0,C131*Simulation!$F$8/12),0)</f>
        <v>116.12961296558429</v>
      </c>
      <c r="F132" s="114">
        <f>IF(B132&lt;=MIN(Simulation!$F$10*12+Simulation!$F$12*OR(Simulation!$F$11="Amortissable différé partiel",Simulation!$F$11="Amortissable différé total"),Simulation!$F$24*12),Simulation!$E$33*Simulation!$F$9/12,0)</f>
        <v>29.733333333333334</v>
      </c>
      <c r="G132" s="115">
        <f>IF(B132&lt;=MIN(Simulation!$F$10*12+Simulation!$F$12*OR(Simulation!$F$11="Amortissable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partiel",IF(B132&lt;=Simulation!$F$12,Simulation!$E$33*Simulation!$F$8/12,PMT(Simulation!$F$8/12,Simulation!$F$10*12,-Simulation!$E$34)),IF(Simulation!$F$11="Amortissable différé total",IF(B132&lt;=Simulation!$F$12,0,PMT(Simulation!$F$8/12,Simulation!$F$10*12,-Simulation!$E$34)),IF(Simulation!$F$11="In fine",IF(B132=Simulation!$F$10*12,Simulation!$E$34,Simulation!$F$8*Simulation!$E$34/12),0)))),0)</f>
        <v>860.8610094454034</v>
      </c>
      <c r="H132" s="113">
        <f>Simulation!$C$16/12*(1+Simulation!$F$15)^INT((B132-1)/12)*(B132&lt;=Simulation!$F$24*12)</f>
        <v>1104.6221254112047</v>
      </c>
      <c r="I132" s="114">
        <f>(Simulation!$F$22-VLOOKUP(Simulation!$C$27,'Comparatif fiscal'!$B$8:$E$17,4,FALSE)-C132)*(B132=Simulation!$F$24*12)</f>
        <v>0</v>
      </c>
      <c r="J132" s="114">
        <f>(Simulation!$C$21+Simulation!$C$22)/12*(1+Simulation!$F$17)^INT((B132-1)/12)*(B132&lt;=Simulation!$F$24*12)</f>
        <v>138.07776567640059</v>
      </c>
      <c r="K132" s="114">
        <f>(H132*Simulation!$C$24+Simulation!$C$23/12*(1+Simulation!$F$15)^INT((B132-1)/12))*(B132&lt;=Simulation!$F$24*12)</f>
        <v>114.14428629249116</v>
      </c>
      <c r="L132" s="114">
        <f>Simulation!$C$19/12*(1+Simulation!$F$18)^INT((B132-1)/12)*(B132&lt;=Simulation!$F$24*12)</f>
        <v>55.23110627056024</v>
      </c>
      <c r="M132" s="114">
        <f>(Simulation!$C$20/12*(1+Simulation!$F$19)^INT((B132-1)/12)+F132)*(B132&lt;=Simulation!$F$24*12)</f>
        <v>38.938517711760042</v>
      </c>
      <c r="N132" s="114">
        <f ca="1">SUMIF('Détail fiscalité'!$B$8:$B$37,INT(B132/12),'Détail fiscalité'!$CI$8:$CI$37)/12+SUMIF('Détail fiscalité'!$B$8:$B$37,B132/12,'Détail fiscalité'!$CI$8:$CI$37)-SUMIF('Détail fiscalité'!$B$8:$B$37,B132/12-1,'Détail fiscalité'!$CI$8:$CI$37)</f>
        <v>0</v>
      </c>
      <c r="O132" s="116">
        <f t="shared" ca="1" si="18"/>
        <v>-102.63055998541086</v>
      </c>
    </row>
    <row r="133" spans="2:15" x14ac:dyDescent="0.15">
      <c r="B133" s="40">
        <f t="shared" si="17"/>
        <v>126</v>
      </c>
      <c r="C133" s="113">
        <f>IF(B133&lt;=MIN(Simulation!$F$10*12+Simulation!$F$12*OR(Simulation!$F$11="Amortissable différé partiel",Simulation!$F$11="Amortissable différé total"),Simulation!$F$24*12),IF(AND(B133&lt;=Simulation!$F$12,OR(Simulation!$F$11="Amortissable différé partiel",Simulation!$F$11="Amortissable différé total")),C132*(1+(Simulation!$F$11="Amortissable différé total")*Simulation!$F$8/12),C132-D133),0)</f>
        <v>91413.296665262198</v>
      </c>
      <c r="D133" s="114">
        <f>IF(B133&lt;=MIN(Simulation!$F$10*12+Simulation!$F$12*OR(Simulation!$F$11="Amortissable différé partiel",Simulation!$F$11="Amortissable différé total"),Simulation!$F$24*12),G133-E133,0)</f>
        <v>745.66231072541893</v>
      </c>
      <c r="E133" s="114">
        <f>IF(B133&lt;=MIN(Simulation!$F$10*12+Simulation!$F$12*OR(Simulation!$F$11="Amortissable différé partiel",Simulation!$F$11="Amortissable différé total"),Simulation!$F$24*12),IF(AND(B133&lt;=Simulation!$F$12,Simulation!$F$11="Amortissable différé total"),0,C132*Simulation!$F$8/12),0)</f>
        <v>115.19869871998451</v>
      </c>
      <c r="F133" s="114">
        <f>IF(B133&lt;=MIN(Simulation!$F$10*12+Simulation!$F$12*OR(Simulation!$F$11="Amortissable différé partiel",Simulation!$F$11="Amortissable différé total"),Simulation!$F$24*12),Simulation!$E$33*Simulation!$F$9/12,0)</f>
        <v>29.733333333333334</v>
      </c>
      <c r="G133" s="115">
        <f>IF(B133&lt;=MIN(Simulation!$F$10*12+Simulation!$F$12*OR(Simulation!$F$11="Amortissable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partiel",IF(B133&lt;=Simulation!$F$12,Simulation!$E$33*Simulation!$F$8/12,PMT(Simulation!$F$8/12,Simulation!$F$10*12,-Simulation!$E$34)),IF(Simulation!$F$11="Amortissable différé total",IF(B133&lt;=Simulation!$F$12,0,PMT(Simulation!$F$8/12,Simulation!$F$10*12,-Simulation!$E$34)),IF(Simulation!$F$11="In fine",IF(B133=Simulation!$F$10*12,Simulation!$E$34,Simulation!$F$8*Simulation!$E$34/12),0)))),0)</f>
        <v>860.8610094454034</v>
      </c>
      <c r="H133" s="113">
        <f>Simulation!$C$16/12*(1+Simulation!$F$15)^INT((B133-1)/12)*(B133&lt;=Simulation!$F$24*12)</f>
        <v>1104.6221254112047</v>
      </c>
      <c r="I133" s="114">
        <f>(Simulation!$F$22-VLOOKUP(Simulation!$C$27,'Comparatif fiscal'!$B$8:$E$17,4,FALSE)-C133)*(B133=Simulation!$F$24*12)</f>
        <v>0</v>
      </c>
      <c r="J133" s="114">
        <f>(Simulation!$C$21+Simulation!$C$22)/12*(1+Simulation!$F$17)^INT((B133-1)/12)*(B133&lt;=Simulation!$F$24*12)</f>
        <v>138.07776567640059</v>
      </c>
      <c r="K133" s="114">
        <f>(H133*Simulation!$C$24+Simulation!$C$23/12*(1+Simulation!$F$15)^INT((B133-1)/12))*(B133&lt;=Simulation!$F$24*12)</f>
        <v>114.14428629249116</v>
      </c>
      <c r="L133" s="114">
        <f>Simulation!$C$19/12*(1+Simulation!$F$18)^INT((B133-1)/12)*(B133&lt;=Simulation!$F$24*12)</f>
        <v>55.23110627056024</v>
      </c>
      <c r="M133" s="114">
        <f>(Simulation!$C$20/12*(1+Simulation!$F$19)^INT((B133-1)/12)+F133)*(B133&lt;=Simulation!$F$24*12)</f>
        <v>38.938517711760042</v>
      </c>
      <c r="N133" s="114">
        <f ca="1">SUMIF('Détail fiscalité'!$B$8:$B$37,INT(B133/12),'Détail fiscalité'!$CI$8:$CI$37)/12+SUMIF('Détail fiscalité'!$B$8:$B$37,B133/12,'Détail fiscalité'!$CI$8:$CI$37)-SUMIF('Détail fiscalité'!$B$8:$B$37,B133/12-1,'Détail fiscalité'!$CI$8:$CI$37)</f>
        <v>0</v>
      </c>
      <c r="O133" s="116">
        <f t="shared" ca="1" si="18"/>
        <v>-102.63055998541086</v>
      </c>
    </row>
    <row r="134" spans="2:15" x14ac:dyDescent="0.15">
      <c r="B134" s="40">
        <f t="shared" si="17"/>
        <v>127</v>
      </c>
      <c r="C134" s="113">
        <f>IF(B134&lt;=MIN(Simulation!$F$10*12+Simulation!$F$12*OR(Simulation!$F$11="Amortissable différé partiel",Simulation!$F$11="Amortissable différé total"),Simulation!$F$24*12),IF(AND(B134&lt;=Simulation!$F$12,OR(Simulation!$F$11="Amortissable différé partiel",Simulation!$F$11="Amortissable différé total")),C133*(1+(Simulation!$F$11="Amortissable différé total")*Simulation!$F$8/12),C133-D134),0)</f>
        <v>90666.702276648371</v>
      </c>
      <c r="D134" s="114">
        <f>IF(B134&lt;=MIN(Simulation!$F$10*12+Simulation!$F$12*OR(Simulation!$F$11="Amortissable différé partiel",Simulation!$F$11="Amortissable différé total"),Simulation!$F$24*12),G134-E134,0)</f>
        <v>746.59438861382569</v>
      </c>
      <c r="E134" s="114">
        <f>IF(B134&lt;=MIN(Simulation!$F$10*12+Simulation!$F$12*OR(Simulation!$F$11="Amortissable différé partiel",Simulation!$F$11="Amortissable différé total"),Simulation!$F$24*12),IF(AND(B134&lt;=Simulation!$F$12,Simulation!$F$11="Amortissable différé total"),0,C133*Simulation!$F$8/12),0)</f>
        <v>114.26662083157775</v>
      </c>
      <c r="F134" s="114">
        <f>IF(B134&lt;=MIN(Simulation!$F$10*12+Simulation!$F$12*OR(Simulation!$F$11="Amortissable différé partiel",Simulation!$F$11="Amortissable différé total"),Simulation!$F$24*12),Simulation!$E$33*Simulation!$F$9/12,0)</f>
        <v>29.733333333333334</v>
      </c>
      <c r="G134" s="115">
        <f>IF(B134&lt;=MIN(Simulation!$F$10*12+Simulation!$F$12*OR(Simulation!$F$11="Amortissable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partiel",IF(B134&lt;=Simulation!$F$12,Simulation!$E$33*Simulation!$F$8/12,PMT(Simulation!$F$8/12,Simulation!$F$10*12,-Simulation!$E$34)),IF(Simulation!$F$11="Amortissable différé total",IF(B134&lt;=Simulation!$F$12,0,PMT(Simulation!$F$8/12,Simulation!$F$10*12,-Simulation!$E$34)),IF(Simulation!$F$11="In fine",IF(B134=Simulation!$F$10*12,Simulation!$E$34,Simulation!$F$8*Simulation!$E$34/12),0)))),0)</f>
        <v>860.8610094454034</v>
      </c>
      <c r="H134" s="113">
        <f>Simulation!$C$16/12*(1+Simulation!$F$15)^INT((B134-1)/12)*(B134&lt;=Simulation!$F$24*12)</f>
        <v>1104.6221254112047</v>
      </c>
      <c r="I134" s="114">
        <f>(Simulation!$F$22-VLOOKUP(Simulation!$C$27,'Comparatif fiscal'!$B$8:$E$17,4,FALSE)-C134)*(B134=Simulation!$F$24*12)</f>
        <v>0</v>
      </c>
      <c r="J134" s="114">
        <f>(Simulation!$C$21+Simulation!$C$22)/12*(1+Simulation!$F$17)^INT((B134-1)/12)*(B134&lt;=Simulation!$F$24*12)</f>
        <v>138.07776567640059</v>
      </c>
      <c r="K134" s="114">
        <f>(H134*Simulation!$C$24+Simulation!$C$23/12*(1+Simulation!$F$15)^INT((B134-1)/12))*(B134&lt;=Simulation!$F$24*12)</f>
        <v>114.14428629249116</v>
      </c>
      <c r="L134" s="114">
        <f>Simulation!$C$19/12*(1+Simulation!$F$18)^INT((B134-1)/12)*(B134&lt;=Simulation!$F$24*12)</f>
        <v>55.23110627056024</v>
      </c>
      <c r="M134" s="114">
        <f>(Simulation!$C$20/12*(1+Simulation!$F$19)^INT((B134-1)/12)+F134)*(B134&lt;=Simulation!$F$24*12)</f>
        <v>38.938517711760042</v>
      </c>
      <c r="N134" s="114">
        <f ca="1">SUMIF('Détail fiscalité'!$B$8:$B$37,INT(B134/12),'Détail fiscalité'!$CI$8:$CI$37)/12+SUMIF('Détail fiscalité'!$B$8:$B$37,B134/12,'Détail fiscalité'!$CI$8:$CI$37)-SUMIF('Détail fiscalité'!$B$8:$B$37,B134/12-1,'Détail fiscalité'!$CI$8:$CI$37)</f>
        <v>0</v>
      </c>
      <c r="O134" s="116">
        <f t="shared" ca="1" si="18"/>
        <v>-102.63055998541086</v>
      </c>
    </row>
    <row r="135" spans="2:15" x14ac:dyDescent="0.15">
      <c r="B135" s="40">
        <f t="shared" si="17"/>
        <v>128</v>
      </c>
      <c r="C135" s="113">
        <f>IF(B135&lt;=MIN(Simulation!$F$10*12+Simulation!$F$12*OR(Simulation!$F$11="Amortissable différé partiel",Simulation!$F$11="Amortissable différé total"),Simulation!$F$24*12),IF(AND(B135&lt;=Simulation!$F$12,OR(Simulation!$F$11="Amortissable différé partiel",Simulation!$F$11="Amortissable différé total")),C134*(1+(Simulation!$F$11="Amortissable différé total")*Simulation!$F$8/12),C134-D135),0)</f>
        <v>89919.174645048784</v>
      </c>
      <c r="D135" s="114">
        <f>IF(B135&lt;=MIN(Simulation!$F$10*12+Simulation!$F$12*OR(Simulation!$F$11="Amortissable différé partiel",Simulation!$F$11="Amortissable différé total"),Simulation!$F$24*12),G135-E135,0)</f>
        <v>747.52763159959295</v>
      </c>
      <c r="E135" s="114">
        <f>IF(B135&lt;=MIN(Simulation!$F$10*12+Simulation!$F$12*OR(Simulation!$F$11="Amortissable différé partiel",Simulation!$F$11="Amortissable différé total"),Simulation!$F$24*12),IF(AND(B135&lt;=Simulation!$F$12,Simulation!$F$11="Amortissable différé total"),0,C134*Simulation!$F$8/12),0)</f>
        <v>113.33337784581046</v>
      </c>
      <c r="F135" s="114">
        <f>IF(B135&lt;=MIN(Simulation!$F$10*12+Simulation!$F$12*OR(Simulation!$F$11="Amortissable différé partiel",Simulation!$F$11="Amortissable différé total"),Simulation!$F$24*12),Simulation!$E$33*Simulation!$F$9/12,0)</f>
        <v>29.733333333333334</v>
      </c>
      <c r="G135" s="115">
        <f>IF(B135&lt;=MIN(Simulation!$F$10*12+Simulation!$F$12*OR(Simulation!$F$11="Amortissable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partiel",IF(B135&lt;=Simulation!$F$12,Simulation!$E$33*Simulation!$F$8/12,PMT(Simulation!$F$8/12,Simulation!$F$10*12,-Simulation!$E$34)),IF(Simulation!$F$11="Amortissable différé total",IF(B135&lt;=Simulation!$F$12,0,PMT(Simulation!$F$8/12,Simulation!$F$10*12,-Simulation!$E$34)),IF(Simulation!$F$11="In fine",IF(B135=Simulation!$F$10*12,Simulation!$E$34,Simulation!$F$8*Simulation!$E$34/12),0)))),0)</f>
        <v>860.8610094454034</v>
      </c>
      <c r="H135" s="113">
        <f>Simulation!$C$16/12*(1+Simulation!$F$15)^INT((B135-1)/12)*(B135&lt;=Simulation!$F$24*12)</f>
        <v>1104.6221254112047</v>
      </c>
      <c r="I135" s="114">
        <f>(Simulation!$F$22-VLOOKUP(Simulation!$C$27,'Comparatif fiscal'!$B$8:$E$17,4,FALSE)-C135)*(B135=Simulation!$F$24*12)</f>
        <v>0</v>
      </c>
      <c r="J135" s="114">
        <f>(Simulation!$C$21+Simulation!$C$22)/12*(1+Simulation!$F$17)^INT((B135-1)/12)*(B135&lt;=Simulation!$F$24*12)</f>
        <v>138.07776567640059</v>
      </c>
      <c r="K135" s="114">
        <f>(H135*Simulation!$C$24+Simulation!$C$23/12*(1+Simulation!$F$15)^INT((B135-1)/12))*(B135&lt;=Simulation!$F$24*12)</f>
        <v>114.14428629249116</v>
      </c>
      <c r="L135" s="114">
        <f>Simulation!$C$19/12*(1+Simulation!$F$18)^INT((B135-1)/12)*(B135&lt;=Simulation!$F$24*12)</f>
        <v>55.23110627056024</v>
      </c>
      <c r="M135" s="114">
        <f>(Simulation!$C$20/12*(1+Simulation!$F$19)^INT((B135-1)/12)+F135)*(B135&lt;=Simulation!$F$24*12)</f>
        <v>38.938517711760042</v>
      </c>
      <c r="N135" s="114">
        <f ca="1">SUMIF('Détail fiscalité'!$B$8:$B$37,INT(B135/12),'Détail fiscalité'!$CI$8:$CI$37)/12+SUMIF('Détail fiscalité'!$B$8:$B$37,B135/12,'Détail fiscalité'!$CI$8:$CI$37)-SUMIF('Détail fiscalité'!$B$8:$B$37,B135/12-1,'Détail fiscalité'!$CI$8:$CI$37)</f>
        <v>0</v>
      </c>
      <c r="O135" s="116">
        <f t="shared" ca="1" si="18"/>
        <v>-102.63055998541086</v>
      </c>
    </row>
    <row r="136" spans="2:15" x14ac:dyDescent="0.15">
      <c r="B136" s="40">
        <f t="shared" ref="B136:B199" si="19">B135+1</f>
        <v>129</v>
      </c>
      <c r="C136" s="113">
        <f>IF(B136&lt;=MIN(Simulation!$F$10*12+Simulation!$F$12*OR(Simulation!$F$11="Amortissable différé partiel",Simulation!$F$11="Amortissable différé total"),Simulation!$F$24*12),IF(AND(B136&lt;=Simulation!$F$12,OR(Simulation!$F$11="Amortissable différé partiel",Simulation!$F$11="Amortissable différé total")),C135*(1+(Simulation!$F$11="Amortissable différé total")*Simulation!$F$8/12),C135-D136),0)</f>
        <v>89170.712603909691</v>
      </c>
      <c r="D136" s="114">
        <f>IF(B136&lt;=MIN(Simulation!$F$10*12+Simulation!$F$12*OR(Simulation!$F$11="Amortissable différé partiel",Simulation!$F$11="Amortissable différé total"),Simulation!$F$24*12),G136-E136,0)</f>
        <v>748.46204113909243</v>
      </c>
      <c r="E136" s="114">
        <f>IF(B136&lt;=MIN(Simulation!$F$10*12+Simulation!$F$12*OR(Simulation!$F$11="Amortissable différé partiel",Simulation!$F$11="Amortissable différé total"),Simulation!$F$24*12),IF(AND(B136&lt;=Simulation!$F$12,Simulation!$F$11="Amortissable différé total"),0,C135*Simulation!$F$8/12),0)</f>
        <v>112.39896830631098</v>
      </c>
      <c r="F136" s="114">
        <f>IF(B136&lt;=MIN(Simulation!$F$10*12+Simulation!$F$12*OR(Simulation!$F$11="Amortissable différé partiel",Simulation!$F$11="Amortissable différé total"),Simulation!$F$24*12),Simulation!$E$33*Simulation!$F$9/12,0)</f>
        <v>29.733333333333334</v>
      </c>
      <c r="G136" s="115">
        <f>IF(B136&lt;=MIN(Simulation!$F$10*12+Simulation!$F$12*OR(Simulation!$F$11="Amortissable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partiel",IF(B136&lt;=Simulation!$F$12,Simulation!$E$33*Simulation!$F$8/12,PMT(Simulation!$F$8/12,Simulation!$F$10*12,-Simulation!$E$34)),IF(Simulation!$F$11="Amortissable différé total",IF(B136&lt;=Simulation!$F$12,0,PMT(Simulation!$F$8/12,Simulation!$F$10*12,-Simulation!$E$34)),IF(Simulation!$F$11="In fine",IF(B136=Simulation!$F$10*12,Simulation!$E$34,Simulation!$F$8*Simulation!$E$34/12),0)))),0)</f>
        <v>860.8610094454034</v>
      </c>
      <c r="H136" s="113">
        <f>Simulation!$C$16/12*(1+Simulation!$F$15)^INT((B136-1)/12)*(B136&lt;=Simulation!$F$24*12)</f>
        <v>1104.6221254112047</v>
      </c>
      <c r="I136" s="114">
        <f>(Simulation!$F$22-VLOOKUP(Simulation!$C$27,'Comparatif fiscal'!$B$8:$E$17,4,FALSE)-C136)*(B136=Simulation!$F$24*12)</f>
        <v>0</v>
      </c>
      <c r="J136" s="114">
        <f>(Simulation!$C$21+Simulation!$C$22)/12*(1+Simulation!$F$17)^INT((B136-1)/12)*(B136&lt;=Simulation!$F$24*12)</f>
        <v>138.07776567640059</v>
      </c>
      <c r="K136" s="114">
        <f>(H136*Simulation!$C$24+Simulation!$C$23/12*(1+Simulation!$F$15)^INT((B136-1)/12))*(B136&lt;=Simulation!$F$24*12)</f>
        <v>114.14428629249116</v>
      </c>
      <c r="L136" s="114">
        <f>Simulation!$C$19/12*(1+Simulation!$F$18)^INT((B136-1)/12)*(B136&lt;=Simulation!$F$24*12)</f>
        <v>55.23110627056024</v>
      </c>
      <c r="M136" s="114">
        <f>(Simulation!$C$20/12*(1+Simulation!$F$19)^INT((B136-1)/12)+F136)*(B136&lt;=Simulation!$F$24*12)</f>
        <v>38.938517711760042</v>
      </c>
      <c r="N136" s="114">
        <f ca="1">SUMIF('Détail fiscalité'!$B$8:$B$37,INT(B136/12),'Détail fiscalité'!$CI$8:$CI$37)/12+SUMIF('Détail fiscalité'!$B$8:$B$37,B136/12,'Détail fiscalité'!$CI$8:$CI$37)-SUMIF('Détail fiscalité'!$B$8:$B$37,B136/12-1,'Détail fiscalité'!$CI$8:$CI$37)</f>
        <v>0</v>
      </c>
      <c r="O136" s="116">
        <f t="shared" ca="1" si="18"/>
        <v>-102.63055998541086</v>
      </c>
    </row>
    <row r="137" spans="2:15" x14ac:dyDescent="0.15">
      <c r="B137" s="40">
        <f t="shared" si="19"/>
        <v>130</v>
      </c>
      <c r="C137" s="113">
        <f>IF(B137&lt;=MIN(Simulation!$F$10*12+Simulation!$F$12*OR(Simulation!$F$11="Amortissable différé partiel",Simulation!$F$11="Amortissable différé total"),Simulation!$F$24*12),IF(AND(B137&lt;=Simulation!$F$12,OR(Simulation!$F$11="Amortissable différé partiel",Simulation!$F$11="Amortissable différé total")),C136*(1+(Simulation!$F$11="Amortissable différé total")*Simulation!$F$8/12),C136-D137),0)</f>
        <v>88421.314985219171</v>
      </c>
      <c r="D137" s="114">
        <f>IF(B137&lt;=MIN(Simulation!$F$10*12+Simulation!$F$12*OR(Simulation!$F$11="Amortissable différé partiel",Simulation!$F$11="Amortissable différé total"),Simulation!$F$24*12),G137-E137,0)</f>
        <v>749.39761869051631</v>
      </c>
      <c r="E137" s="114">
        <f>IF(B137&lt;=MIN(Simulation!$F$10*12+Simulation!$F$12*OR(Simulation!$F$11="Amortissable différé partiel",Simulation!$F$11="Amortissable différé total"),Simulation!$F$24*12),IF(AND(B137&lt;=Simulation!$F$12,Simulation!$F$11="Amortissable différé total"),0,C136*Simulation!$F$8/12),0)</f>
        <v>111.4633907548871</v>
      </c>
      <c r="F137" s="114">
        <f>IF(B137&lt;=MIN(Simulation!$F$10*12+Simulation!$F$12*OR(Simulation!$F$11="Amortissable différé partiel",Simulation!$F$11="Amortissable différé total"),Simulation!$F$24*12),Simulation!$E$33*Simulation!$F$9/12,0)</f>
        <v>29.733333333333334</v>
      </c>
      <c r="G137" s="115">
        <f>IF(B137&lt;=MIN(Simulation!$F$10*12+Simulation!$F$12*OR(Simulation!$F$11="Amortissable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partiel",IF(B137&lt;=Simulation!$F$12,Simulation!$E$33*Simulation!$F$8/12,PMT(Simulation!$F$8/12,Simulation!$F$10*12,-Simulation!$E$34)),IF(Simulation!$F$11="Amortissable différé total",IF(B137&lt;=Simulation!$F$12,0,PMT(Simulation!$F$8/12,Simulation!$F$10*12,-Simulation!$E$34)),IF(Simulation!$F$11="In fine",IF(B137=Simulation!$F$10*12,Simulation!$E$34,Simulation!$F$8*Simulation!$E$34/12),0)))),0)</f>
        <v>860.8610094454034</v>
      </c>
      <c r="H137" s="113">
        <f>Simulation!$C$16/12*(1+Simulation!$F$15)^INT((B137-1)/12)*(B137&lt;=Simulation!$F$24*12)</f>
        <v>1104.6221254112047</v>
      </c>
      <c r="I137" s="114">
        <f>(Simulation!$F$22-VLOOKUP(Simulation!$C$27,'Comparatif fiscal'!$B$8:$E$17,4,FALSE)-C137)*(B137=Simulation!$F$24*12)</f>
        <v>0</v>
      </c>
      <c r="J137" s="114">
        <f>(Simulation!$C$21+Simulation!$C$22)/12*(1+Simulation!$F$17)^INT((B137-1)/12)*(B137&lt;=Simulation!$F$24*12)</f>
        <v>138.07776567640059</v>
      </c>
      <c r="K137" s="114">
        <f>(H137*Simulation!$C$24+Simulation!$C$23/12*(1+Simulation!$F$15)^INT((B137-1)/12))*(B137&lt;=Simulation!$F$24*12)</f>
        <v>114.14428629249116</v>
      </c>
      <c r="L137" s="114">
        <f>Simulation!$C$19/12*(1+Simulation!$F$18)^INT((B137-1)/12)*(B137&lt;=Simulation!$F$24*12)</f>
        <v>55.23110627056024</v>
      </c>
      <c r="M137" s="114">
        <f>(Simulation!$C$20/12*(1+Simulation!$F$19)^INT((B137-1)/12)+F137)*(B137&lt;=Simulation!$F$24*12)</f>
        <v>38.938517711760042</v>
      </c>
      <c r="N137" s="114">
        <f ca="1">SUMIF('Détail fiscalité'!$B$8:$B$37,INT(B137/12),'Détail fiscalité'!$CI$8:$CI$37)/12+SUMIF('Détail fiscalité'!$B$8:$B$37,B137/12,'Détail fiscalité'!$CI$8:$CI$37)-SUMIF('Détail fiscalité'!$B$8:$B$37,B137/12-1,'Détail fiscalité'!$CI$8:$CI$37)</f>
        <v>0</v>
      </c>
      <c r="O137" s="116">
        <f t="shared" ref="O137:O200" ca="1" si="20">SUM(H137:I137)-SUM(G137,J137:N137)</f>
        <v>-102.63055998541086</v>
      </c>
    </row>
    <row r="138" spans="2:15" x14ac:dyDescent="0.15">
      <c r="B138" s="40">
        <f t="shared" si="19"/>
        <v>131</v>
      </c>
      <c r="C138" s="113">
        <f>IF(B138&lt;=MIN(Simulation!$F$10*12+Simulation!$F$12*OR(Simulation!$F$11="Amortissable différé partiel",Simulation!$F$11="Amortissable différé total"),Simulation!$F$24*12),IF(AND(B138&lt;=Simulation!$F$12,OR(Simulation!$F$11="Amortissable différé partiel",Simulation!$F$11="Amortissable différé total")),C137*(1+(Simulation!$F$11="Amortissable différé total")*Simulation!$F$8/12),C137-D138),0)</f>
        <v>87670.980619505295</v>
      </c>
      <c r="D138" s="114">
        <f>IF(B138&lt;=MIN(Simulation!$F$10*12+Simulation!$F$12*OR(Simulation!$F$11="Amortissable différé partiel",Simulation!$F$11="Amortissable différé total"),Simulation!$F$24*12),G138-E138,0)</f>
        <v>750.33436571387938</v>
      </c>
      <c r="E138" s="114">
        <f>IF(B138&lt;=MIN(Simulation!$F$10*12+Simulation!$F$12*OR(Simulation!$F$11="Amortissable différé partiel",Simulation!$F$11="Amortissable différé total"),Simulation!$F$24*12),IF(AND(B138&lt;=Simulation!$F$12,Simulation!$F$11="Amortissable différé total"),0,C137*Simulation!$F$8/12),0)</f>
        <v>110.52664373152396</v>
      </c>
      <c r="F138" s="114">
        <f>IF(B138&lt;=MIN(Simulation!$F$10*12+Simulation!$F$12*OR(Simulation!$F$11="Amortissable différé partiel",Simulation!$F$11="Amortissable différé total"),Simulation!$F$24*12),Simulation!$E$33*Simulation!$F$9/12,0)</f>
        <v>29.733333333333334</v>
      </c>
      <c r="G138" s="115">
        <f>IF(B138&lt;=MIN(Simulation!$F$10*12+Simulation!$F$12*OR(Simulation!$F$11="Amortissable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partiel",IF(B138&lt;=Simulation!$F$12,Simulation!$E$33*Simulation!$F$8/12,PMT(Simulation!$F$8/12,Simulation!$F$10*12,-Simulation!$E$34)),IF(Simulation!$F$11="Amortissable différé total",IF(B138&lt;=Simulation!$F$12,0,PMT(Simulation!$F$8/12,Simulation!$F$10*12,-Simulation!$E$34)),IF(Simulation!$F$11="In fine",IF(B138=Simulation!$F$10*12,Simulation!$E$34,Simulation!$F$8*Simulation!$E$34/12),0)))),0)</f>
        <v>860.8610094454034</v>
      </c>
      <c r="H138" s="113">
        <f>Simulation!$C$16/12*(1+Simulation!$F$15)^INT((B138-1)/12)*(B138&lt;=Simulation!$F$24*12)</f>
        <v>1104.6221254112047</v>
      </c>
      <c r="I138" s="114">
        <f>(Simulation!$F$22-VLOOKUP(Simulation!$C$27,'Comparatif fiscal'!$B$8:$E$17,4,FALSE)-C138)*(B138=Simulation!$F$24*12)</f>
        <v>0</v>
      </c>
      <c r="J138" s="114">
        <f>(Simulation!$C$21+Simulation!$C$22)/12*(1+Simulation!$F$17)^INT((B138-1)/12)*(B138&lt;=Simulation!$F$24*12)</f>
        <v>138.07776567640059</v>
      </c>
      <c r="K138" s="114">
        <f>(H138*Simulation!$C$24+Simulation!$C$23/12*(1+Simulation!$F$15)^INT((B138-1)/12))*(B138&lt;=Simulation!$F$24*12)</f>
        <v>114.14428629249116</v>
      </c>
      <c r="L138" s="114">
        <f>Simulation!$C$19/12*(1+Simulation!$F$18)^INT((B138-1)/12)*(B138&lt;=Simulation!$F$24*12)</f>
        <v>55.23110627056024</v>
      </c>
      <c r="M138" s="114">
        <f>(Simulation!$C$20/12*(1+Simulation!$F$19)^INT((B138-1)/12)+F138)*(B138&lt;=Simulation!$F$24*12)</f>
        <v>38.938517711760042</v>
      </c>
      <c r="N138" s="114">
        <f ca="1">SUMIF('Détail fiscalité'!$B$8:$B$37,INT(B138/12),'Détail fiscalité'!$CI$8:$CI$37)/12+SUMIF('Détail fiscalité'!$B$8:$B$37,B138/12,'Détail fiscalité'!$CI$8:$CI$37)-SUMIF('Détail fiscalité'!$B$8:$B$37,B138/12-1,'Détail fiscalité'!$CI$8:$CI$37)</f>
        <v>0</v>
      </c>
      <c r="O138" s="116">
        <f t="shared" ca="1" si="20"/>
        <v>-102.63055998541086</v>
      </c>
    </row>
    <row r="139" spans="2:15" x14ac:dyDescent="0.15">
      <c r="B139" s="40">
        <f t="shared" si="19"/>
        <v>132</v>
      </c>
      <c r="C139" s="113">
        <f>IF(B139&lt;=MIN(Simulation!$F$10*12+Simulation!$F$12*OR(Simulation!$F$11="Amortissable différé partiel",Simulation!$F$11="Amortissable différé total"),Simulation!$F$24*12),IF(AND(B139&lt;=Simulation!$F$12,OR(Simulation!$F$11="Amortissable différé partiel",Simulation!$F$11="Amortissable différé total")),C138*(1+(Simulation!$F$11="Amortissable différé total")*Simulation!$F$8/12),C138-D139),0)</f>
        <v>86919.708335834279</v>
      </c>
      <c r="D139" s="114">
        <f>IF(B139&lt;=MIN(Simulation!$F$10*12+Simulation!$F$12*OR(Simulation!$F$11="Amortissable différé partiel",Simulation!$F$11="Amortissable différé total"),Simulation!$F$24*12),G139-E139,0)</f>
        <v>751.2722836710218</v>
      </c>
      <c r="E139" s="114">
        <f>IF(B139&lt;=MIN(Simulation!$F$10*12+Simulation!$F$12*OR(Simulation!$F$11="Amortissable différé partiel",Simulation!$F$11="Amortissable différé total"),Simulation!$F$24*12),IF(AND(B139&lt;=Simulation!$F$12,Simulation!$F$11="Amortissable différé total"),0,C138*Simulation!$F$8/12),0)</f>
        <v>109.58872577438161</v>
      </c>
      <c r="F139" s="114">
        <f>IF(B139&lt;=MIN(Simulation!$F$10*12+Simulation!$F$12*OR(Simulation!$F$11="Amortissable différé partiel",Simulation!$F$11="Amortissable différé total"),Simulation!$F$24*12),Simulation!$E$33*Simulation!$F$9/12,0)</f>
        <v>29.733333333333334</v>
      </c>
      <c r="G139" s="115">
        <f>IF(B139&lt;=MIN(Simulation!$F$10*12+Simulation!$F$12*OR(Simulation!$F$11="Amortissable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partiel",IF(B139&lt;=Simulation!$F$12,Simulation!$E$33*Simulation!$F$8/12,PMT(Simulation!$F$8/12,Simulation!$F$10*12,-Simulation!$E$34)),IF(Simulation!$F$11="Amortissable différé total",IF(B139&lt;=Simulation!$F$12,0,PMT(Simulation!$F$8/12,Simulation!$F$10*12,-Simulation!$E$34)),IF(Simulation!$F$11="In fine",IF(B139=Simulation!$F$10*12,Simulation!$E$34,Simulation!$F$8*Simulation!$E$34/12),0)))),0)</f>
        <v>860.8610094454034</v>
      </c>
      <c r="H139" s="113">
        <f>Simulation!$C$16/12*(1+Simulation!$F$15)^INT((B139-1)/12)*(B139&lt;=Simulation!$F$24*12)</f>
        <v>1104.6221254112047</v>
      </c>
      <c r="I139" s="114">
        <f>(Simulation!$F$22-VLOOKUP(Simulation!$C$27,'Comparatif fiscal'!$B$8:$E$17,4,FALSE)-C139)*(B139=Simulation!$F$24*12)</f>
        <v>0</v>
      </c>
      <c r="J139" s="114">
        <f>(Simulation!$C$21+Simulation!$C$22)/12*(1+Simulation!$F$17)^INT((B139-1)/12)*(B139&lt;=Simulation!$F$24*12)</f>
        <v>138.07776567640059</v>
      </c>
      <c r="K139" s="114">
        <f>(H139*Simulation!$C$24+Simulation!$C$23/12*(1+Simulation!$F$15)^INT((B139-1)/12))*(B139&lt;=Simulation!$F$24*12)</f>
        <v>114.14428629249116</v>
      </c>
      <c r="L139" s="114">
        <f>Simulation!$C$19/12*(1+Simulation!$F$18)^INT((B139-1)/12)*(B139&lt;=Simulation!$F$24*12)</f>
        <v>55.23110627056024</v>
      </c>
      <c r="M139" s="114">
        <f>(Simulation!$C$20/12*(1+Simulation!$F$19)^INT((B139-1)/12)+F139)*(B139&lt;=Simulation!$F$24*12)</f>
        <v>38.938517711760042</v>
      </c>
      <c r="N139" s="114">
        <f ca="1">SUMIF('Détail fiscalité'!$B$8:$B$37,INT(B139/12),'Détail fiscalité'!$CI$8:$CI$37)/12+SUMIF('Détail fiscalité'!$B$8:$B$37,B139/12,'Détail fiscalité'!$CI$8:$CI$37)-SUMIF('Détail fiscalité'!$B$8:$B$37,B139/12-1,'Détail fiscalité'!$CI$8:$CI$37)</f>
        <v>0</v>
      </c>
      <c r="O139" s="116">
        <f t="shared" ca="1" si="20"/>
        <v>-102.63055998541086</v>
      </c>
    </row>
    <row r="140" spans="2:15" x14ac:dyDescent="0.15">
      <c r="B140" s="40">
        <f t="shared" si="19"/>
        <v>133</v>
      </c>
      <c r="C140" s="113">
        <f>IF(B140&lt;=MIN(Simulation!$F$10*12+Simulation!$F$12*OR(Simulation!$F$11="Amortissable différé partiel",Simulation!$F$11="Amortissable différé total"),Simulation!$F$24*12),IF(AND(B140&lt;=Simulation!$F$12,OR(Simulation!$F$11="Amortissable différé partiel",Simulation!$F$11="Amortissable différé total")),C139*(1+(Simulation!$F$11="Amortissable différé total")*Simulation!$F$8/12),C139-D140),0)</f>
        <v>86167.496961808662</v>
      </c>
      <c r="D140" s="114">
        <f>IF(B140&lt;=MIN(Simulation!$F$10*12+Simulation!$F$12*OR(Simulation!$F$11="Amortissable différé partiel",Simulation!$F$11="Amortissable différé total"),Simulation!$F$24*12),G140-E140,0)</f>
        <v>752.21137402561055</v>
      </c>
      <c r="E140" s="114">
        <f>IF(B140&lt;=MIN(Simulation!$F$10*12+Simulation!$F$12*OR(Simulation!$F$11="Amortissable différé partiel",Simulation!$F$11="Amortissable différé total"),Simulation!$F$24*12),IF(AND(B140&lt;=Simulation!$F$12,Simulation!$F$11="Amortissable différé total"),0,C139*Simulation!$F$8/12),0)</f>
        <v>108.64963541979284</v>
      </c>
      <c r="F140" s="114">
        <f>IF(B140&lt;=MIN(Simulation!$F$10*12+Simulation!$F$12*OR(Simulation!$F$11="Amortissable différé partiel",Simulation!$F$11="Amortissable différé total"),Simulation!$F$24*12),Simulation!$E$33*Simulation!$F$9/12,0)</f>
        <v>29.733333333333334</v>
      </c>
      <c r="G140" s="115">
        <f>IF(B140&lt;=MIN(Simulation!$F$10*12+Simulation!$F$12*OR(Simulation!$F$11="Amortissable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partiel",IF(B140&lt;=Simulation!$F$12,Simulation!$E$33*Simulation!$F$8/12,PMT(Simulation!$F$8/12,Simulation!$F$10*12,-Simulation!$E$34)),IF(Simulation!$F$11="Amortissable différé total",IF(B140&lt;=Simulation!$F$12,0,PMT(Simulation!$F$8/12,Simulation!$F$10*12,-Simulation!$E$34)),IF(Simulation!$F$11="In fine",IF(B140=Simulation!$F$10*12,Simulation!$E$34,Simulation!$F$8*Simulation!$E$34/12),0)))),0)</f>
        <v>860.8610094454034</v>
      </c>
      <c r="H140" s="113">
        <f>Simulation!$C$16/12*(1+Simulation!$F$15)^INT((B140-1)/12)*(B140&lt;=Simulation!$F$24*12)</f>
        <v>1115.6683466653164</v>
      </c>
      <c r="I140" s="114">
        <f>(Simulation!$F$22-VLOOKUP(Simulation!$C$27,'Comparatif fiscal'!$B$8:$E$17,4,FALSE)-C140)*(B140=Simulation!$F$24*12)</f>
        <v>0</v>
      </c>
      <c r="J140" s="114">
        <f>(Simulation!$C$21+Simulation!$C$22)/12*(1+Simulation!$F$17)^INT((B140-1)/12)*(B140&lt;=Simulation!$F$24*12)</f>
        <v>139.45854333316456</v>
      </c>
      <c r="K140" s="114">
        <f>(H140*Simulation!$C$24+Simulation!$C$23/12*(1+Simulation!$F$15)^INT((B140-1)/12))*(B140&lt;=Simulation!$F$24*12)</f>
        <v>115.28572915541605</v>
      </c>
      <c r="L140" s="114">
        <f>Simulation!$C$19/12*(1+Simulation!$F$18)^INT((B140-1)/12)*(B140&lt;=Simulation!$F$24*12)</f>
        <v>55.783417333265831</v>
      </c>
      <c r="M140" s="114">
        <f>(Simulation!$C$20/12*(1+Simulation!$F$19)^INT((B140-1)/12)+F140)*(B140&lt;=Simulation!$F$24*12)</f>
        <v>39.030569555544304</v>
      </c>
      <c r="N140" s="114">
        <f ca="1">SUMIF('Détail fiscalité'!$B$8:$B$37,INT(B140/12),'Détail fiscalité'!$CI$8:$CI$37)/12+SUMIF('Détail fiscalité'!$B$8:$B$37,B140/12,'Détail fiscalité'!$CI$8:$CI$37)-SUMIF('Détail fiscalité'!$B$8:$B$37,B140/12-1,'Détail fiscalité'!$CI$8:$CI$37)</f>
        <v>0</v>
      </c>
      <c r="O140" s="116">
        <f t="shared" ca="1" si="20"/>
        <v>-94.750922157477817</v>
      </c>
    </row>
    <row r="141" spans="2:15" x14ac:dyDescent="0.15">
      <c r="B141" s="40">
        <f t="shared" si="19"/>
        <v>134</v>
      </c>
      <c r="C141" s="113">
        <f>IF(B141&lt;=MIN(Simulation!$F$10*12+Simulation!$F$12*OR(Simulation!$F$11="Amortissable différé partiel",Simulation!$F$11="Amortissable différé total"),Simulation!$F$24*12),IF(AND(B141&lt;=Simulation!$F$12,OR(Simulation!$F$11="Amortissable différé partiel",Simulation!$F$11="Amortissable différé total")),C140*(1+(Simulation!$F$11="Amortissable différé total")*Simulation!$F$8/12),C140-D141),0)</f>
        <v>85414.345323565518</v>
      </c>
      <c r="D141" s="114">
        <f>IF(B141&lt;=MIN(Simulation!$F$10*12+Simulation!$F$12*OR(Simulation!$F$11="Amortissable différé partiel",Simulation!$F$11="Amortissable différé total"),Simulation!$F$24*12),G141-E141,0)</f>
        <v>753.15163824314254</v>
      </c>
      <c r="E141" s="114">
        <f>IF(B141&lt;=MIN(Simulation!$F$10*12+Simulation!$F$12*OR(Simulation!$F$11="Amortissable différé partiel",Simulation!$F$11="Amortissable différé total"),Simulation!$F$24*12),IF(AND(B141&lt;=Simulation!$F$12,Simulation!$F$11="Amortissable différé total"),0,C140*Simulation!$F$8/12),0)</f>
        <v>107.70937120226081</v>
      </c>
      <c r="F141" s="114">
        <f>IF(B141&lt;=MIN(Simulation!$F$10*12+Simulation!$F$12*OR(Simulation!$F$11="Amortissable différé partiel",Simulation!$F$11="Amortissable différé total"),Simulation!$F$24*12),Simulation!$E$33*Simulation!$F$9/12,0)</f>
        <v>29.733333333333334</v>
      </c>
      <c r="G141" s="115">
        <f>IF(B141&lt;=MIN(Simulation!$F$10*12+Simulation!$F$12*OR(Simulation!$F$11="Amortissable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partiel",IF(B141&lt;=Simulation!$F$12,Simulation!$E$33*Simulation!$F$8/12,PMT(Simulation!$F$8/12,Simulation!$F$10*12,-Simulation!$E$34)),IF(Simulation!$F$11="Amortissable différé total",IF(B141&lt;=Simulation!$F$12,0,PMT(Simulation!$F$8/12,Simulation!$F$10*12,-Simulation!$E$34)),IF(Simulation!$F$11="In fine",IF(B141=Simulation!$F$10*12,Simulation!$E$34,Simulation!$F$8*Simulation!$E$34/12),0)))),0)</f>
        <v>860.8610094454034</v>
      </c>
      <c r="H141" s="113">
        <f>Simulation!$C$16/12*(1+Simulation!$F$15)^INT((B141-1)/12)*(B141&lt;=Simulation!$F$24*12)</f>
        <v>1115.6683466653164</v>
      </c>
      <c r="I141" s="114">
        <f>(Simulation!$F$22-VLOOKUP(Simulation!$C$27,'Comparatif fiscal'!$B$8:$E$17,4,FALSE)-C141)*(B141=Simulation!$F$24*12)</f>
        <v>0</v>
      </c>
      <c r="J141" s="114">
        <f>(Simulation!$C$21+Simulation!$C$22)/12*(1+Simulation!$F$17)^INT((B141-1)/12)*(B141&lt;=Simulation!$F$24*12)</f>
        <v>139.45854333316456</v>
      </c>
      <c r="K141" s="114">
        <f>(H141*Simulation!$C$24+Simulation!$C$23/12*(1+Simulation!$F$15)^INT((B141-1)/12))*(B141&lt;=Simulation!$F$24*12)</f>
        <v>115.28572915541605</v>
      </c>
      <c r="L141" s="114">
        <f>Simulation!$C$19/12*(1+Simulation!$F$18)^INT((B141-1)/12)*(B141&lt;=Simulation!$F$24*12)</f>
        <v>55.783417333265831</v>
      </c>
      <c r="M141" s="114">
        <f>(Simulation!$C$20/12*(1+Simulation!$F$19)^INT((B141-1)/12)+F141)*(B141&lt;=Simulation!$F$24*12)</f>
        <v>39.030569555544304</v>
      </c>
      <c r="N141" s="114">
        <f ca="1">SUMIF('Détail fiscalité'!$B$8:$B$37,INT(B141/12),'Détail fiscalité'!$CI$8:$CI$37)/12+SUMIF('Détail fiscalité'!$B$8:$B$37,B141/12,'Détail fiscalité'!$CI$8:$CI$37)-SUMIF('Détail fiscalité'!$B$8:$B$37,B141/12-1,'Détail fiscalité'!$CI$8:$CI$37)</f>
        <v>0</v>
      </c>
      <c r="O141" s="116">
        <f t="shared" ca="1" si="20"/>
        <v>-94.750922157477817</v>
      </c>
    </row>
    <row r="142" spans="2:15" x14ac:dyDescent="0.15">
      <c r="B142" s="40">
        <f t="shared" si="19"/>
        <v>135</v>
      </c>
      <c r="C142" s="113">
        <f>IF(B142&lt;=MIN(Simulation!$F$10*12+Simulation!$F$12*OR(Simulation!$F$11="Amortissable différé partiel",Simulation!$F$11="Amortissable différé total"),Simulation!$F$24*12),IF(AND(B142&lt;=Simulation!$F$12,OR(Simulation!$F$11="Amortissable différé partiel",Simulation!$F$11="Amortissable différé total")),C141*(1+(Simulation!$F$11="Amortissable différé total")*Simulation!$F$8/12),C141-D142),0)</f>
        <v>84660.252245774565</v>
      </c>
      <c r="D142" s="114">
        <f>IF(B142&lt;=MIN(Simulation!$F$10*12+Simulation!$F$12*OR(Simulation!$F$11="Amortissable différé partiel",Simulation!$F$11="Amortissable différé total"),Simulation!$F$24*12),G142-E142,0)</f>
        <v>754.0930777909465</v>
      </c>
      <c r="E142" s="114">
        <f>IF(B142&lt;=MIN(Simulation!$F$10*12+Simulation!$F$12*OR(Simulation!$F$11="Amortissable différé partiel",Simulation!$F$11="Amortissable différé total"),Simulation!$F$24*12),IF(AND(B142&lt;=Simulation!$F$12,Simulation!$F$11="Amortissable différé total"),0,C141*Simulation!$F$8/12),0)</f>
        <v>106.7679316544569</v>
      </c>
      <c r="F142" s="114">
        <f>IF(B142&lt;=MIN(Simulation!$F$10*12+Simulation!$F$12*OR(Simulation!$F$11="Amortissable différé partiel",Simulation!$F$11="Amortissable différé total"),Simulation!$F$24*12),Simulation!$E$33*Simulation!$F$9/12,0)</f>
        <v>29.733333333333334</v>
      </c>
      <c r="G142" s="115">
        <f>IF(B142&lt;=MIN(Simulation!$F$10*12+Simulation!$F$12*OR(Simulation!$F$11="Amortissable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partiel",IF(B142&lt;=Simulation!$F$12,Simulation!$E$33*Simulation!$F$8/12,PMT(Simulation!$F$8/12,Simulation!$F$10*12,-Simulation!$E$34)),IF(Simulation!$F$11="Amortissable différé total",IF(B142&lt;=Simulation!$F$12,0,PMT(Simulation!$F$8/12,Simulation!$F$10*12,-Simulation!$E$34)),IF(Simulation!$F$11="In fine",IF(B142=Simulation!$F$10*12,Simulation!$E$34,Simulation!$F$8*Simulation!$E$34/12),0)))),0)</f>
        <v>860.8610094454034</v>
      </c>
      <c r="H142" s="113">
        <f>Simulation!$C$16/12*(1+Simulation!$F$15)^INT((B142-1)/12)*(B142&lt;=Simulation!$F$24*12)</f>
        <v>1115.6683466653164</v>
      </c>
      <c r="I142" s="114">
        <f>(Simulation!$F$22-VLOOKUP(Simulation!$C$27,'Comparatif fiscal'!$B$8:$E$17,4,FALSE)-C142)*(B142=Simulation!$F$24*12)</f>
        <v>0</v>
      </c>
      <c r="J142" s="114">
        <f>(Simulation!$C$21+Simulation!$C$22)/12*(1+Simulation!$F$17)^INT((B142-1)/12)*(B142&lt;=Simulation!$F$24*12)</f>
        <v>139.45854333316456</v>
      </c>
      <c r="K142" s="114">
        <f>(H142*Simulation!$C$24+Simulation!$C$23/12*(1+Simulation!$F$15)^INT((B142-1)/12))*(B142&lt;=Simulation!$F$24*12)</f>
        <v>115.28572915541605</v>
      </c>
      <c r="L142" s="114">
        <f>Simulation!$C$19/12*(1+Simulation!$F$18)^INT((B142-1)/12)*(B142&lt;=Simulation!$F$24*12)</f>
        <v>55.783417333265831</v>
      </c>
      <c r="M142" s="114">
        <f>(Simulation!$C$20/12*(1+Simulation!$F$19)^INT((B142-1)/12)+F142)*(B142&lt;=Simulation!$F$24*12)</f>
        <v>39.030569555544304</v>
      </c>
      <c r="N142" s="114">
        <f ca="1">SUMIF('Détail fiscalité'!$B$8:$B$37,INT(B142/12),'Détail fiscalité'!$CI$8:$CI$37)/12+SUMIF('Détail fiscalité'!$B$8:$B$37,B142/12,'Détail fiscalité'!$CI$8:$CI$37)-SUMIF('Détail fiscalité'!$B$8:$B$37,B142/12-1,'Détail fiscalité'!$CI$8:$CI$37)</f>
        <v>0</v>
      </c>
      <c r="O142" s="116">
        <f t="shared" ca="1" si="20"/>
        <v>-94.750922157477817</v>
      </c>
    </row>
    <row r="143" spans="2:15" x14ac:dyDescent="0.15">
      <c r="B143" s="40">
        <f t="shared" si="19"/>
        <v>136</v>
      </c>
      <c r="C143" s="113">
        <f>IF(B143&lt;=MIN(Simulation!$F$10*12+Simulation!$F$12*OR(Simulation!$F$11="Amortissable différé partiel",Simulation!$F$11="Amortissable différé total"),Simulation!$F$24*12),IF(AND(B143&lt;=Simulation!$F$12,OR(Simulation!$F$11="Amortissable différé partiel",Simulation!$F$11="Amortissable différé total")),C142*(1+(Simulation!$F$11="Amortissable différé total")*Simulation!$F$8/12),C142-D143),0)</f>
        <v>83905.216551636375</v>
      </c>
      <c r="D143" s="114">
        <f>IF(B143&lt;=MIN(Simulation!$F$10*12+Simulation!$F$12*OR(Simulation!$F$11="Amortissable différé partiel",Simulation!$F$11="Amortissable différé total"),Simulation!$F$24*12),G143-E143,0)</f>
        <v>755.03569413818514</v>
      </c>
      <c r="E143" s="114">
        <f>IF(B143&lt;=MIN(Simulation!$F$10*12+Simulation!$F$12*OR(Simulation!$F$11="Amortissable différé partiel",Simulation!$F$11="Amortissable différé total"),Simulation!$F$24*12),IF(AND(B143&lt;=Simulation!$F$12,Simulation!$F$11="Amortissable différé total"),0,C142*Simulation!$F$8/12),0)</f>
        <v>105.8253153072182</v>
      </c>
      <c r="F143" s="114">
        <f>IF(B143&lt;=MIN(Simulation!$F$10*12+Simulation!$F$12*OR(Simulation!$F$11="Amortissable différé partiel",Simulation!$F$11="Amortissable différé total"),Simulation!$F$24*12),Simulation!$E$33*Simulation!$F$9/12,0)</f>
        <v>29.733333333333334</v>
      </c>
      <c r="G143" s="115">
        <f>IF(B143&lt;=MIN(Simulation!$F$10*12+Simulation!$F$12*OR(Simulation!$F$11="Amortissable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partiel",IF(B143&lt;=Simulation!$F$12,Simulation!$E$33*Simulation!$F$8/12,PMT(Simulation!$F$8/12,Simulation!$F$10*12,-Simulation!$E$34)),IF(Simulation!$F$11="Amortissable différé total",IF(B143&lt;=Simulation!$F$12,0,PMT(Simulation!$F$8/12,Simulation!$F$10*12,-Simulation!$E$34)),IF(Simulation!$F$11="In fine",IF(B143=Simulation!$F$10*12,Simulation!$E$34,Simulation!$F$8*Simulation!$E$34/12),0)))),0)</f>
        <v>860.8610094454034</v>
      </c>
      <c r="H143" s="113">
        <f>Simulation!$C$16/12*(1+Simulation!$F$15)^INT((B143-1)/12)*(B143&lt;=Simulation!$F$24*12)</f>
        <v>1115.6683466653164</v>
      </c>
      <c r="I143" s="114">
        <f>(Simulation!$F$22-VLOOKUP(Simulation!$C$27,'Comparatif fiscal'!$B$8:$E$17,4,FALSE)-C143)*(B143=Simulation!$F$24*12)</f>
        <v>0</v>
      </c>
      <c r="J143" s="114">
        <f>(Simulation!$C$21+Simulation!$C$22)/12*(1+Simulation!$F$17)^INT((B143-1)/12)*(B143&lt;=Simulation!$F$24*12)</f>
        <v>139.45854333316456</v>
      </c>
      <c r="K143" s="114">
        <f>(H143*Simulation!$C$24+Simulation!$C$23/12*(1+Simulation!$F$15)^INT((B143-1)/12))*(B143&lt;=Simulation!$F$24*12)</f>
        <v>115.28572915541605</v>
      </c>
      <c r="L143" s="114">
        <f>Simulation!$C$19/12*(1+Simulation!$F$18)^INT((B143-1)/12)*(B143&lt;=Simulation!$F$24*12)</f>
        <v>55.783417333265831</v>
      </c>
      <c r="M143" s="114">
        <f>(Simulation!$C$20/12*(1+Simulation!$F$19)^INT((B143-1)/12)+F143)*(B143&lt;=Simulation!$F$24*12)</f>
        <v>39.030569555544304</v>
      </c>
      <c r="N143" s="114">
        <f ca="1">SUMIF('Détail fiscalité'!$B$8:$B$37,INT(B143/12),'Détail fiscalité'!$CI$8:$CI$37)/12+SUMIF('Détail fiscalité'!$B$8:$B$37,B143/12,'Détail fiscalité'!$CI$8:$CI$37)-SUMIF('Détail fiscalité'!$B$8:$B$37,B143/12-1,'Détail fiscalité'!$CI$8:$CI$37)</f>
        <v>0</v>
      </c>
      <c r="O143" s="116">
        <f t="shared" ca="1" si="20"/>
        <v>-94.750922157477817</v>
      </c>
    </row>
    <row r="144" spans="2:15" x14ac:dyDescent="0.15">
      <c r="B144" s="40">
        <f t="shared" si="19"/>
        <v>137</v>
      </c>
      <c r="C144" s="113">
        <f>IF(B144&lt;=MIN(Simulation!$F$10*12+Simulation!$F$12*OR(Simulation!$F$11="Amortissable différé partiel",Simulation!$F$11="Amortissable différé total"),Simulation!$F$24*12),IF(AND(B144&lt;=Simulation!$F$12,OR(Simulation!$F$11="Amortissable différé partiel",Simulation!$F$11="Amortissable différé total")),C143*(1+(Simulation!$F$11="Amortissable différé total")*Simulation!$F$8/12),C143-D144),0)</f>
        <v>83149.237062880522</v>
      </c>
      <c r="D144" s="114">
        <f>IF(B144&lt;=MIN(Simulation!$F$10*12+Simulation!$F$12*OR(Simulation!$F$11="Amortissable différé partiel",Simulation!$F$11="Amortissable différé total"),Simulation!$F$24*12),G144-E144,0)</f>
        <v>755.97948875585791</v>
      </c>
      <c r="E144" s="114">
        <f>IF(B144&lt;=MIN(Simulation!$F$10*12+Simulation!$F$12*OR(Simulation!$F$11="Amortissable différé partiel",Simulation!$F$11="Amortissable différé total"),Simulation!$F$24*12),IF(AND(B144&lt;=Simulation!$F$12,Simulation!$F$11="Amortissable différé total"),0,C143*Simulation!$F$8/12),0)</f>
        <v>104.88152068954547</v>
      </c>
      <c r="F144" s="114">
        <f>IF(B144&lt;=MIN(Simulation!$F$10*12+Simulation!$F$12*OR(Simulation!$F$11="Amortissable différé partiel",Simulation!$F$11="Amortissable différé total"),Simulation!$F$24*12),Simulation!$E$33*Simulation!$F$9/12,0)</f>
        <v>29.733333333333334</v>
      </c>
      <c r="G144" s="115">
        <f>IF(B144&lt;=MIN(Simulation!$F$10*12+Simulation!$F$12*OR(Simulation!$F$11="Amortissable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partiel",IF(B144&lt;=Simulation!$F$12,Simulation!$E$33*Simulation!$F$8/12,PMT(Simulation!$F$8/12,Simulation!$F$10*12,-Simulation!$E$34)),IF(Simulation!$F$11="Amortissable différé total",IF(B144&lt;=Simulation!$F$12,0,PMT(Simulation!$F$8/12,Simulation!$F$10*12,-Simulation!$E$34)),IF(Simulation!$F$11="In fine",IF(B144=Simulation!$F$10*12,Simulation!$E$34,Simulation!$F$8*Simulation!$E$34/12),0)))),0)</f>
        <v>860.8610094454034</v>
      </c>
      <c r="H144" s="113">
        <f>Simulation!$C$16/12*(1+Simulation!$F$15)^INT((B144-1)/12)*(B144&lt;=Simulation!$F$24*12)</f>
        <v>1115.6683466653164</v>
      </c>
      <c r="I144" s="114">
        <f>(Simulation!$F$22-VLOOKUP(Simulation!$C$27,'Comparatif fiscal'!$B$8:$E$17,4,FALSE)-C144)*(B144=Simulation!$F$24*12)</f>
        <v>0</v>
      </c>
      <c r="J144" s="114">
        <f>(Simulation!$C$21+Simulation!$C$22)/12*(1+Simulation!$F$17)^INT((B144-1)/12)*(B144&lt;=Simulation!$F$24*12)</f>
        <v>139.45854333316456</v>
      </c>
      <c r="K144" s="114">
        <f>(H144*Simulation!$C$24+Simulation!$C$23/12*(1+Simulation!$F$15)^INT((B144-1)/12))*(B144&lt;=Simulation!$F$24*12)</f>
        <v>115.28572915541605</v>
      </c>
      <c r="L144" s="114">
        <f>Simulation!$C$19/12*(1+Simulation!$F$18)^INT((B144-1)/12)*(B144&lt;=Simulation!$F$24*12)</f>
        <v>55.783417333265831</v>
      </c>
      <c r="M144" s="114">
        <f>(Simulation!$C$20/12*(1+Simulation!$F$19)^INT((B144-1)/12)+F144)*(B144&lt;=Simulation!$F$24*12)</f>
        <v>39.030569555544304</v>
      </c>
      <c r="N144" s="114">
        <f ca="1">SUMIF('Détail fiscalité'!$B$8:$B$37,INT(B144/12),'Détail fiscalité'!$CI$8:$CI$37)/12+SUMIF('Détail fiscalité'!$B$8:$B$37,B144/12,'Détail fiscalité'!$CI$8:$CI$37)-SUMIF('Détail fiscalité'!$B$8:$B$37,B144/12-1,'Détail fiscalité'!$CI$8:$CI$37)</f>
        <v>0</v>
      </c>
      <c r="O144" s="116">
        <f t="shared" ca="1" si="20"/>
        <v>-94.750922157477817</v>
      </c>
    </row>
    <row r="145" spans="2:15" x14ac:dyDescent="0.15">
      <c r="B145" s="40">
        <f t="shared" si="19"/>
        <v>138</v>
      </c>
      <c r="C145" s="113">
        <f>IF(B145&lt;=MIN(Simulation!$F$10*12+Simulation!$F$12*OR(Simulation!$F$11="Amortissable différé partiel",Simulation!$F$11="Amortissable différé total"),Simulation!$F$24*12),IF(AND(B145&lt;=Simulation!$F$12,OR(Simulation!$F$11="Amortissable différé partiel",Simulation!$F$11="Amortissable différé total")),C144*(1+(Simulation!$F$11="Amortissable différé total")*Simulation!$F$8/12),C144-D145),0)</f>
        <v>82392.312599763725</v>
      </c>
      <c r="D145" s="114">
        <f>IF(B145&lt;=MIN(Simulation!$F$10*12+Simulation!$F$12*OR(Simulation!$F$11="Amortissable différé partiel",Simulation!$F$11="Amortissable différé total"),Simulation!$F$24*12),G145-E145,0)</f>
        <v>756.92446311680271</v>
      </c>
      <c r="E145" s="114">
        <f>IF(B145&lt;=MIN(Simulation!$F$10*12+Simulation!$F$12*OR(Simulation!$F$11="Amortissable différé partiel",Simulation!$F$11="Amortissable différé total"),Simulation!$F$24*12),IF(AND(B145&lt;=Simulation!$F$12,Simulation!$F$11="Amortissable différé total"),0,C144*Simulation!$F$8/12),0)</f>
        <v>103.93654632860064</v>
      </c>
      <c r="F145" s="114">
        <f>IF(B145&lt;=MIN(Simulation!$F$10*12+Simulation!$F$12*OR(Simulation!$F$11="Amortissable différé partiel",Simulation!$F$11="Amortissable différé total"),Simulation!$F$24*12),Simulation!$E$33*Simulation!$F$9/12,0)</f>
        <v>29.733333333333334</v>
      </c>
      <c r="G145" s="115">
        <f>IF(B145&lt;=MIN(Simulation!$F$10*12+Simulation!$F$12*OR(Simulation!$F$11="Amortissable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partiel",IF(B145&lt;=Simulation!$F$12,Simulation!$E$33*Simulation!$F$8/12,PMT(Simulation!$F$8/12,Simulation!$F$10*12,-Simulation!$E$34)),IF(Simulation!$F$11="Amortissable différé total",IF(B145&lt;=Simulation!$F$12,0,PMT(Simulation!$F$8/12,Simulation!$F$10*12,-Simulation!$E$34)),IF(Simulation!$F$11="In fine",IF(B145=Simulation!$F$10*12,Simulation!$E$34,Simulation!$F$8*Simulation!$E$34/12),0)))),0)</f>
        <v>860.8610094454034</v>
      </c>
      <c r="H145" s="113">
        <f>Simulation!$C$16/12*(1+Simulation!$F$15)^INT((B145-1)/12)*(B145&lt;=Simulation!$F$24*12)</f>
        <v>1115.6683466653164</v>
      </c>
      <c r="I145" s="114">
        <f>(Simulation!$F$22-VLOOKUP(Simulation!$C$27,'Comparatif fiscal'!$B$8:$E$17,4,FALSE)-C145)*(B145=Simulation!$F$24*12)</f>
        <v>0</v>
      </c>
      <c r="J145" s="114">
        <f>(Simulation!$C$21+Simulation!$C$22)/12*(1+Simulation!$F$17)^INT((B145-1)/12)*(B145&lt;=Simulation!$F$24*12)</f>
        <v>139.45854333316456</v>
      </c>
      <c r="K145" s="114">
        <f>(H145*Simulation!$C$24+Simulation!$C$23/12*(1+Simulation!$F$15)^INT((B145-1)/12))*(B145&lt;=Simulation!$F$24*12)</f>
        <v>115.28572915541605</v>
      </c>
      <c r="L145" s="114">
        <f>Simulation!$C$19/12*(1+Simulation!$F$18)^INT((B145-1)/12)*(B145&lt;=Simulation!$F$24*12)</f>
        <v>55.783417333265831</v>
      </c>
      <c r="M145" s="114">
        <f>(Simulation!$C$20/12*(1+Simulation!$F$19)^INT((B145-1)/12)+F145)*(B145&lt;=Simulation!$F$24*12)</f>
        <v>39.030569555544304</v>
      </c>
      <c r="N145" s="114">
        <f ca="1">SUMIF('Détail fiscalité'!$B$8:$B$37,INT(B145/12),'Détail fiscalité'!$CI$8:$CI$37)/12+SUMIF('Détail fiscalité'!$B$8:$B$37,B145/12,'Détail fiscalité'!$CI$8:$CI$37)-SUMIF('Détail fiscalité'!$B$8:$B$37,B145/12-1,'Détail fiscalité'!$CI$8:$CI$37)</f>
        <v>0</v>
      </c>
      <c r="O145" s="116">
        <f t="shared" ca="1" si="20"/>
        <v>-94.750922157477817</v>
      </c>
    </row>
    <row r="146" spans="2:15" x14ac:dyDescent="0.15">
      <c r="B146" s="40">
        <f t="shared" si="19"/>
        <v>139</v>
      </c>
      <c r="C146" s="113">
        <f>IF(B146&lt;=MIN(Simulation!$F$10*12+Simulation!$F$12*OR(Simulation!$F$11="Amortissable différé partiel",Simulation!$F$11="Amortissable différé total"),Simulation!$F$24*12),IF(AND(B146&lt;=Simulation!$F$12,OR(Simulation!$F$11="Amortissable différé partiel",Simulation!$F$11="Amortissable différé total")),C145*(1+(Simulation!$F$11="Amortissable différé total")*Simulation!$F$8/12),C145-D146),0)</f>
        <v>81634.441981068027</v>
      </c>
      <c r="D146" s="114">
        <f>IF(B146&lt;=MIN(Simulation!$F$10*12+Simulation!$F$12*OR(Simulation!$F$11="Amortissable différé partiel",Simulation!$F$11="Amortissable différé total"),Simulation!$F$24*12),G146-E146,0)</f>
        <v>757.87061869569879</v>
      </c>
      <c r="E146" s="114">
        <f>IF(B146&lt;=MIN(Simulation!$F$10*12+Simulation!$F$12*OR(Simulation!$F$11="Amortissable différé partiel",Simulation!$F$11="Amortissable différé total"),Simulation!$F$24*12),IF(AND(B146&lt;=Simulation!$F$12,Simulation!$F$11="Amortissable différé total"),0,C145*Simulation!$F$8/12),0)</f>
        <v>102.99039074970466</v>
      </c>
      <c r="F146" s="114">
        <f>IF(B146&lt;=MIN(Simulation!$F$10*12+Simulation!$F$12*OR(Simulation!$F$11="Amortissable différé partiel",Simulation!$F$11="Amortissable différé total"),Simulation!$F$24*12),Simulation!$E$33*Simulation!$F$9/12,0)</f>
        <v>29.733333333333334</v>
      </c>
      <c r="G146" s="115">
        <f>IF(B146&lt;=MIN(Simulation!$F$10*12+Simulation!$F$12*OR(Simulation!$F$11="Amortissable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partiel",IF(B146&lt;=Simulation!$F$12,Simulation!$E$33*Simulation!$F$8/12,PMT(Simulation!$F$8/12,Simulation!$F$10*12,-Simulation!$E$34)),IF(Simulation!$F$11="Amortissable différé total",IF(B146&lt;=Simulation!$F$12,0,PMT(Simulation!$F$8/12,Simulation!$F$10*12,-Simulation!$E$34)),IF(Simulation!$F$11="In fine",IF(B146=Simulation!$F$10*12,Simulation!$E$34,Simulation!$F$8*Simulation!$E$34/12),0)))),0)</f>
        <v>860.8610094454034</v>
      </c>
      <c r="H146" s="113">
        <f>Simulation!$C$16/12*(1+Simulation!$F$15)^INT((B146-1)/12)*(B146&lt;=Simulation!$F$24*12)</f>
        <v>1115.6683466653164</v>
      </c>
      <c r="I146" s="114">
        <f>(Simulation!$F$22-VLOOKUP(Simulation!$C$27,'Comparatif fiscal'!$B$8:$E$17,4,FALSE)-C146)*(B146=Simulation!$F$24*12)</f>
        <v>0</v>
      </c>
      <c r="J146" s="114">
        <f>(Simulation!$C$21+Simulation!$C$22)/12*(1+Simulation!$F$17)^INT((B146-1)/12)*(B146&lt;=Simulation!$F$24*12)</f>
        <v>139.45854333316456</v>
      </c>
      <c r="K146" s="114">
        <f>(H146*Simulation!$C$24+Simulation!$C$23/12*(1+Simulation!$F$15)^INT((B146-1)/12))*(B146&lt;=Simulation!$F$24*12)</f>
        <v>115.28572915541605</v>
      </c>
      <c r="L146" s="114">
        <f>Simulation!$C$19/12*(1+Simulation!$F$18)^INT((B146-1)/12)*(B146&lt;=Simulation!$F$24*12)</f>
        <v>55.783417333265831</v>
      </c>
      <c r="M146" s="114">
        <f>(Simulation!$C$20/12*(1+Simulation!$F$19)^INT((B146-1)/12)+F146)*(B146&lt;=Simulation!$F$24*12)</f>
        <v>39.030569555544304</v>
      </c>
      <c r="N146" s="114">
        <f ca="1">SUMIF('Détail fiscalité'!$B$8:$B$37,INT(B146/12),'Détail fiscalité'!$CI$8:$CI$37)/12+SUMIF('Détail fiscalité'!$B$8:$B$37,B146/12,'Détail fiscalité'!$CI$8:$CI$37)-SUMIF('Détail fiscalité'!$B$8:$B$37,B146/12-1,'Détail fiscalité'!$CI$8:$CI$37)</f>
        <v>0</v>
      </c>
      <c r="O146" s="116">
        <f t="shared" ca="1" si="20"/>
        <v>-94.750922157477817</v>
      </c>
    </row>
    <row r="147" spans="2:15" x14ac:dyDescent="0.15">
      <c r="B147" s="40">
        <f t="shared" si="19"/>
        <v>140</v>
      </c>
      <c r="C147" s="113">
        <f>IF(B147&lt;=MIN(Simulation!$F$10*12+Simulation!$F$12*OR(Simulation!$F$11="Amortissable différé partiel",Simulation!$F$11="Amortissable différé total"),Simulation!$F$24*12),IF(AND(B147&lt;=Simulation!$F$12,OR(Simulation!$F$11="Amortissable différé partiel",Simulation!$F$11="Amortissable différé total")),C146*(1+(Simulation!$F$11="Amortissable différé total")*Simulation!$F$8/12),C146-D147),0)</f>
        <v>80875.624024098957</v>
      </c>
      <c r="D147" s="114">
        <f>IF(B147&lt;=MIN(Simulation!$F$10*12+Simulation!$F$12*OR(Simulation!$F$11="Amortissable différé partiel",Simulation!$F$11="Amortissable différé total"),Simulation!$F$24*12),G147-E147,0)</f>
        <v>758.8179569690684</v>
      </c>
      <c r="E147" s="114">
        <f>IF(B147&lt;=MIN(Simulation!$F$10*12+Simulation!$F$12*OR(Simulation!$F$11="Amortissable différé partiel",Simulation!$F$11="Amortissable différé total"),Simulation!$F$24*12),IF(AND(B147&lt;=Simulation!$F$12,Simulation!$F$11="Amortissable différé total"),0,C146*Simulation!$F$8/12),0)</f>
        <v>102.04305247633503</v>
      </c>
      <c r="F147" s="114">
        <f>IF(B147&lt;=MIN(Simulation!$F$10*12+Simulation!$F$12*OR(Simulation!$F$11="Amortissable différé partiel",Simulation!$F$11="Amortissable différé total"),Simulation!$F$24*12),Simulation!$E$33*Simulation!$F$9/12,0)</f>
        <v>29.733333333333334</v>
      </c>
      <c r="G147" s="115">
        <f>IF(B147&lt;=MIN(Simulation!$F$10*12+Simulation!$F$12*OR(Simulation!$F$11="Amortissable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partiel",IF(B147&lt;=Simulation!$F$12,Simulation!$E$33*Simulation!$F$8/12,PMT(Simulation!$F$8/12,Simulation!$F$10*12,-Simulation!$E$34)),IF(Simulation!$F$11="Amortissable différé total",IF(B147&lt;=Simulation!$F$12,0,PMT(Simulation!$F$8/12,Simulation!$F$10*12,-Simulation!$E$34)),IF(Simulation!$F$11="In fine",IF(B147=Simulation!$F$10*12,Simulation!$E$34,Simulation!$F$8*Simulation!$E$34/12),0)))),0)</f>
        <v>860.8610094454034</v>
      </c>
      <c r="H147" s="113">
        <f>Simulation!$C$16/12*(1+Simulation!$F$15)^INT((B147-1)/12)*(B147&lt;=Simulation!$F$24*12)</f>
        <v>1115.6683466653164</v>
      </c>
      <c r="I147" s="114">
        <f>(Simulation!$F$22-VLOOKUP(Simulation!$C$27,'Comparatif fiscal'!$B$8:$E$17,4,FALSE)-C147)*(B147=Simulation!$F$24*12)</f>
        <v>0</v>
      </c>
      <c r="J147" s="114">
        <f>(Simulation!$C$21+Simulation!$C$22)/12*(1+Simulation!$F$17)^INT((B147-1)/12)*(B147&lt;=Simulation!$F$24*12)</f>
        <v>139.45854333316456</v>
      </c>
      <c r="K147" s="114">
        <f>(H147*Simulation!$C$24+Simulation!$C$23/12*(1+Simulation!$F$15)^INT((B147-1)/12))*(B147&lt;=Simulation!$F$24*12)</f>
        <v>115.28572915541605</v>
      </c>
      <c r="L147" s="114">
        <f>Simulation!$C$19/12*(1+Simulation!$F$18)^INT((B147-1)/12)*(B147&lt;=Simulation!$F$24*12)</f>
        <v>55.783417333265831</v>
      </c>
      <c r="M147" s="114">
        <f>(Simulation!$C$20/12*(1+Simulation!$F$19)^INT((B147-1)/12)+F147)*(B147&lt;=Simulation!$F$24*12)</f>
        <v>39.030569555544304</v>
      </c>
      <c r="N147" s="114">
        <f ca="1">SUMIF('Détail fiscalité'!$B$8:$B$37,INT(B147/12),'Détail fiscalité'!$CI$8:$CI$37)/12+SUMIF('Détail fiscalité'!$B$8:$B$37,B147/12,'Détail fiscalité'!$CI$8:$CI$37)-SUMIF('Détail fiscalité'!$B$8:$B$37,B147/12-1,'Détail fiscalité'!$CI$8:$CI$37)</f>
        <v>0</v>
      </c>
      <c r="O147" s="116">
        <f t="shared" ca="1" si="20"/>
        <v>-94.750922157477817</v>
      </c>
    </row>
    <row r="148" spans="2:15" x14ac:dyDescent="0.15">
      <c r="B148" s="40">
        <f t="shared" si="19"/>
        <v>141</v>
      </c>
      <c r="C148" s="113">
        <f>IF(B148&lt;=MIN(Simulation!$F$10*12+Simulation!$F$12*OR(Simulation!$F$11="Amortissable différé partiel",Simulation!$F$11="Amortissable différé total"),Simulation!$F$24*12),IF(AND(B148&lt;=Simulation!$F$12,OR(Simulation!$F$11="Amortissable différé partiel",Simulation!$F$11="Amortissable différé total")),C147*(1+(Simulation!$F$11="Amortissable différé total")*Simulation!$F$8/12),C147-D148),0)</f>
        <v>80115.857544683677</v>
      </c>
      <c r="D148" s="114">
        <f>IF(B148&lt;=MIN(Simulation!$F$10*12+Simulation!$F$12*OR(Simulation!$F$11="Amortissable différé partiel",Simulation!$F$11="Amortissable différé total"),Simulation!$F$24*12),G148-E148,0)</f>
        <v>759.76647941527972</v>
      </c>
      <c r="E148" s="114">
        <f>IF(B148&lt;=MIN(Simulation!$F$10*12+Simulation!$F$12*OR(Simulation!$F$11="Amortissable différé partiel",Simulation!$F$11="Amortissable différé total"),Simulation!$F$24*12),IF(AND(B148&lt;=Simulation!$F$12,Simulation!$F$11="Amortissable différé total"),0,C147*Simulation!$F$8/12),0)</f>
        <v>101.09453003012369</v>
      </c>
      <c r="F148" s="114">
        <f>IF(B148&lt;=MIN(Simulation!$F$10*12+Simulation!$F$12*OR(Simulation!$F$11="Amortissable différé partiel",Simulation!$F$11="Amortissable différé total"),Simulation!$F$24*12),Simulation!$E$33*Simulation!$F$9/12,0)</f>
        <v>29.733333333333334</v>
      </c>
      <c r="G148" s="115">
        <f>IF(B148&lt;=MIN(Simulation!$F$10*12+Simulation!$F$12*OR(Simulation!$F$11="Amortissable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partiel",IF(B148&lt;=Simulation!$F$12,Simulation!$E$33*Simulation!$F$8/12,PMT(Simulation!$F$8/12,Simulation!$F$10*12,-Simulation!$E$34)),IF(Simulation!$F$11="Amortissable différé total",IF(B148&lt;=Simulation!$F$12,0,PMT(Simulation!$F$8/12,Simulation!$F$10*12,-Simulation!$E$34)),IF(Simulation!$F$11="In fine",IF(B148=Simulation!$F$10*12,Simulation!$E$34,Simulation!$F$8*Simulation!$E$34/12),0)))),0)</f>
        <v>860.8610094454034</v>
      </c>
      <c r="H148" s="113">
        <f>Simulation!$C$16/12*(1+Simulation!$F$15)^INT((B148-1)/12)*(B148&lt;=Simulation!$F$24*12)</f>
        <v>1115.6683466653164</v>
      </c>
      <c r="I148" s="114">
        <f>(Simulation!$F$22-VLOOKUP(Simulation!$C$27,'Comparatif fiscal'!$B$8:$E$17,4,FALSE)-C148)*(B148=Simulation!$F$24*12)</f>
        <v>0</v>
      </c>
      <c r="J148" s="114">
        <f>(Simulation!$C$21+Simulation!$C$22)/12*(1+Simulation!$F$17)^INT((B148-1)/12)*(B148&lt;=Simulation!$F$24*12)</f>
        <v>139.45854333316456</v>
      </c>
      <c r="K148" s="114">
        <f>(H148*Simulation!$C$24+Simulation!$C$23/12*(1+Simulation!$F$15)^INT((B148-1)/12))*(B148&lt;=Simulation!$F$24*12)</f>
        <v>115.28572915541605</v>
      </c>
      <c r="L148" s="114">
        <f>Simulation!$C$19/12*(1+Simulation!$F$18)^INT((B148-1)/12)*(B148&lt;=Simulation!$F$24*12)</f>
        <v>55.783417333265831</v>
      </c>
      <c r="M148" s="114">
        <f>(Simulation!$C$20/12*(1+Simulation!$F$19)^INT((B148-1)/12)+F148)*(B148&lt;=Simulation!$F$24*12)</f>
        <v>39.030569555544304</v>
      </c>
      <c r="N148" s="114">
        <f ca="1">SUMIF('Détail fiscalité'!$B$8:$B$37,INT(B148/12),'Détail fiscalité'!$CI$8:$CI$37)/12+SUMIF('Détail fiscalité'!$B$8:$B$37,B148/12,'Détail fiscalité'!$CI$8:$CI$37)-SUMIF('Détail fiscalité'!$B$8:$B$37,B148/12-1,'Détail fiscalité'!$CI$8:$CI$37)</f>
        <v>0</v>
      </c>
      <c r="O148" s="116">
        <f t="shared" ca="1" si="20"/>
        <v>-94.750922157477817</v>
      </c>
    </row>
    <row r="149" spans="2:15" x14ac:dyDescent="0.15">
      <c r="B149" s="40">
        <f t="shared" si="19"/>
        <v>142</v>
      </c>
      <c r="C149" s="113">
        <f>IF(B149&lt;=MIN(Simulation!$F$10*12+Simulation!$F$12*OR(Simulation!$F$11="Amortissable différé partiel",Simulation!$F$11="Amortissable différé total"),Simulation!$F$24*12),IF(AND(B149&lt;=Simulation!$F$12,OR(Simulation!$F$11="Amortissable différé partiel",Simulation!$F$11="Amortissable différé total")),C148*(1+(Simulation!$F$11="Amortissable différé total")*Simulation!$F$8/12),C148-D149),0)</f>
        <v>79355.141357169123</v>
      </c>
      <c r="D149" s="114">
        <f>IF(B149&lt;=MIN(Simulation!$F$10*12+Simulation!$F$12*OR(Simulation!$F$11="Amortissable différé partiel",Simulation!$F$11="Amortissable différé total"),Simulation!$F$24*12),G149-E149,0)</f>
        <v>760.71618751454878</v>
      </c>
      <c r="E149" s="114">
        <f>IF(B149&lt;=MIN(Simulation!$F$10*12+Simulation!$F$12*OR(Simulation!$F$11="Amortissable différé partiel",Simulation!$F$11="Amortissable différé total"),Simulation!$F$24*12),IF(AND(B149&lt;=Simulation!$F$12,Simulation!$F$11="Amortissable différé total"),0,C148*Simulation!$F$8/12),0)</f>
        <v>100.1448219308546</v>
      </c>
      <c r="F149" s="114">
        <f>IF(B149&lt;=MIN(Simulation!$F$10*12+Simulation!$F$12*OR(Simulation!$F$11="Amortissable différé partiel",Simulation!$F$11="Amortissable différé total"),Simulation!$F$24*12),Simulation!$E$33*Simulation!$F$9/12,0)</f>
        <v>29.733333333333334</v>
      </c>
      <c r="G149" s="115">
        <f>IF(B149&lt;=MIN(Simulation!$F$10*12+Simulation!$F$12*OR(Simulation!$F$11="Amortissable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partiel",IF(B149&lt;=Simulation!$F$12,Simulation!$E$33*Simulation!$F$8/12,PMT(Simulation!$F$8/12,Simulation!$F$10*12,-Simulation!$E$34)),IF(Simulation!$F$11="Amortissable différé total",IF(B149&lt;=Simulation!$F$12,0,PMT(Simulation!$F$8/12,Simulation!$F$10*12,-Simulation!$E$34)),IF(Simulation!$F$11="In fine",IF(B149=Simulation!$F$10*12,Simulation!$E$34,Simulation!$F$8*Simulation!$E$34/12),0)))),0)</f>
        <v>860.8610094454034</v>
      </c>
      <c r="H149" s="113">
        <f>Simulation!$C$16/12*(1+Simulation!$F$15)^INT((B149-1)/12)*(B149&lt;=Simulation!$F$24*12)</f>
        <v>1115.6683466653164</v>
      </c>
      <c r="I149" s="114">
        <f>(Simulation!$F$22-VLOOKUP(Simulation!$C$27,'Comparatif fiscal'!$B$8:$E$17,4,FALSE)-C149)*(B149=Simulation!$F$24*12)</f>
        <v>0</v>
      </c>
      <c r="J149" s="114">
        <f>(Simulation!$C$21+Simulation!$C$22)/12*(1+Simulation!$F$17)^INT((B149-1)/12)*(B149&lt;=Simulation!$F$24*12)</f>
        <v>139.45854333316456</v>
      </c>
      <c r="K149" s="114">
        <f>(H149*Simulation!$C$24+Simulation!$C$23/12*(1+Simulation!$F$15)^INT((B149-1)/12))*(B149&lt;=Simulation!$F$24*12)</f>
        <v>115.28572915541605</v>
      </c>
      <c r="L149" s="114">
        <f>Simulation!$C$19/12*(1+Simulation!$F$18)^INT((B149-1)/12)*(B149&lt;=Simulation!$F$24*12)</f>
        <v>55.783417333265831</v>
      </c>
      <c r="M149" s="114">
        <f>(Simulation!$C$20/12*(1+Simulation!$F$19)^INT((B149-1)/12)+F149)*(B149&lt;=Simulation!$F$24*12)</f>
        <v>39.030569555544304</v>
      </c>
      <c r="N149" s="114">
        <f ca="1">SUMIF('Détail fiscalité'!$B$8:$B$37,INT(B149/12),'Détail fiscalité'!$CI$8:$CI$37)/12+SUMIF('Détail fiscalité'!$B$8:$B$37,B149/12,'Détail fiscalité'!$CI$8:$CI$37)-SUMIF('Détail fiscalité'!$B$8:$B$37,B149/12-1,'Détail fiscalité'!$CI$8:$CI$37)</f>
        <v>0</v>
      </c>
      <c r="O149" s="116">
        <f t="shared" ca="1" si="20"/>
        <v>-94.750922157477817</v>
      </c>
    </row>
    <row r="150" spans="2:15" x14ac:dyDescent="0.15">
      <c r="B150" s="40">
        <f t="shared" si="19"/>
        <v>143</v>
      </c>
      <c r="C150" s="113">
        <f>IF(B150&lt;=MIN(Simulation!$F$10*12+Simulation!$F$12*OR(Simulation!$F$11="Amortissable différé partiel",Simulation!$F$11="Amortissable différé total"),Simulation!$F$24*12),IF(AND(B150&lt;=Simulation!$F$12,OR(Simulation!$F$11="Amortissable différé partiel",Simulation!$F$11="Amortissable différé total")),C149*(1+(Simulation!$F$11="Amortissable différé total")*Simulation!$F$8/12),C149-D150),0)</f>
        <v>78593.474274420179</v>
      </c>
      <c r="D150" s="114">
        <f>IF(B150&lt;=MIN(Simulation!$F$10*12+Simulation!$F$12*OR(Simulation!$F$11="Amortissable différé partiel",Simulation!$F$11="Amortissable différé total"),Simulation!$F$24*12),G150-E150,0)</f>
        <v>761.66708274894199</v>
      </c>
      <c r="E150" s="114">
        <f>IF(B150&lt;=MIN(Simulation!$F$10*12+Simulation!$F$12*OR(Simulation!$F$11="Amortissable différé partiel",Simulation!$F$11="Amortissable différé total"),Simulation!$F$24*12),IF(AND(B150&lt;=Simulation!$F$12,Simulation!$F$11="Amortissable différé total"),0,C149*Simulation!$F$8/12),0)</f>
        <v>99.193926696461403</v>
      </c>
      <c r="F150" s="114">
        <f>IF(B150&lt;=MIN(Simulation!$F$10*12+Simulation!$F$12*OR(Simulation!$F$11="Amortissable différé partiel",Simulation!$F$11="Amortissable différé total"),Simulation!$F$24*12),Simulation!$E$33*Simulation!$F$9/12,0)</f>
        <v>29.733333333333334</v>
      </c>
      <c r="G150" s="115">
        <f>IF(B150&lt;=MIN(Simulation!$F$10*12+Simulation!$F$12*OR(Simulation!$F$11="Amortissable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partiel",IF(B150&lt;=Simulation!$F$12,Simulation!$E$33*Simulation!$F$8/12,PMT(Simulation!$F$8/12,Simulation!$F$10*12,-Simulation!$E$34)),IF(Simulation!$F$11="Amortissable différé total",IF(B150&lt;=Simulation!$F$12,0,PMT(Simulation!$F$8/12,Simulation!$F$10*12,-Simulation!$E$34)),IF(Simulation!$F$11="In fine",IF(B150=Simulation!$F$10*12,Simulation!$E$34,Simulation!$F$8*Simulation!$E$34/12),0)))),0)</f>
        <v>860.8610094454034</v>
      </c>
      <c r="H150" s="113">
        <f>Simulation!$C$16/12*(1+Simulation!$F$15)^INT((B150-1)/12)*(B150&lt;=Simulation!$F$24*12)</f>
        <v>1115.6683466653164</v>
      </c>
      <c r="I150" s="114">
        <f>(Simulation!$F$22-VLOOKUP(Simulation!$C$27,'Comparatif fiscal'!$B$8:$E$17,4,FALSE)-C150)*(B150=Simulation!$F$24*12)</f>
        <v>0</v>
      </c>
      <c r="J150" s="114">
        <f>(Simulation!$C$21+Simulation!$C$22)/12*(1+Simulation!$F$17)^INT((B150-1)/12)*(B150&lt;=Simulation!$F$24*12)</f>
        <v>139.45854333316456</v>
      </c>
      <c r="K150" s="114">
        <f>(H150*Simulation!$C$24+Simulation!$C$23/12*(1+Simulation!$F$15)^INT((B150-1)/12))*(B150&lt;=Simulation!$F$24*12)</f>
        <v>115.28572915541605</v>
      </c>
      <c r="L150" s="114">
        <f>Simulation!$C$19/12*(1+Simulation!$F$18)^INT((B150-1)/12)*(B150&lt;=Simulation!$F$24*12)</f>
        <v>55.783417333265831</v>
      </c>
      <c r="M150" s="114">
        <f>(Simulation!$C$20/12*(1+Simulation!$F$19)^INT((B150-1)/12)+F150)*(B150&lt;=Simulation!$F$24*12)</f>
        <v>39.030569555544304</v>
      </c>
      <c r="N150" s="114">
        <f ca="1">SUMIF('Détail fiscalité'!$B$8:$B$37,INT(B150/12),'Détail fiscalité'!$CI$8:$CI$37)/12+SUMIF('Détail fiscalité'!$B$8:$B$37,B150/12,'Détail fiscalité'!$CI$8:$CI$37)-SUMIF('Détail fiscalité'!$B$8:$B$37,B150/12-1,'Détail fiscalité'!$CI$8:$CI$37)</f>
        <v>0</v>
      </c>
      <c r="O150" s="116">
        <f t="shared" ca="1" si="20"/>
        <v>-94.750922157477817</v>
      </c>
    </row>
    <row r="151" spans="2:15" x14ac:dyDescent="0.15">
      <c r="B151" s="40">
        <f t="shared" si="19"/>
        <v>144</v>
      </c>
      <c r="C151" s="113">
        <f>IF(B151&lt;=MIN(Simulation!$F$10*12+Simulation!$F$12*OR(Simulation!$F$11="Amortissable différé partiel",Simulation!$F$11="Amortissable différé total"),Simulation!$F$24*12),IF(AND(B151&lt;=Simulation!$F$12,OR(Simulation!$F$11="Amortissable différé partiel",Simulation!$F$11="Amortissable différé total")),C150*(1+(Simulation!$F$11="Amortissable différé total")*Simulation!$F$8/12),C150-D151),0)</f>
        <v>77830.855107817799</v>
      </c>
      <c r="D151" s="114">
        <f>IF(B151&lt;=MIN(Simulation!$F$10*12+Simulation!$F$12*OR(Simulation!$F$11="Amortissable différé partiel",Simulation!$F$11="Amortissable différé total"),Simulation!$F$24*12),G151-E151,0)</f>
        <v>762.61916660237819</v>
      </c>
      <c r="E151" s="114">
        <f>IF(B151&lt;=MIN(Simulation!$F$10*12+Simulation!$F$12*OR(Simulation!$F$11="Amortissable différé partiel",Simulation!$F$11="Amortissable différé total"),Simulation!$F$24*12),IF(AND(B151&lt;=Simulation!$F$12,Simulation!$F$11="Amortissable différé total"),0,C150*Simulation!$F$8/12),0)</f>
        <v>98.241842843025225</v>
      </c>
      <c r="F151" s="114">
        <f>IF(B151&lt;=MIN(Simulation!$F$10*12+Simulation!$F$12*OR(Simulation!$F$11="Amortissable différé partiel",Simulation!$F$11="Amortissable différé total"),Simulation!$F$24*12),Simulation!$E$33*Simulation!$F$9/12,0)</f>
        <v>29.733333333333334</v>
      </c>
      <c r="G151" s="115">
        <f>IF(B151&lt;=MIN(Simulation!$F$10*12+Simulation!$F$12*OR(Simulation!$F$11="Amortissable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partiel",IF(B151&lt;=Simulation!$F$12,Simulation!$E$33*Simulation!$F$8/12,PMT(Simulation!$F$8/12,Simulation!$F$10*12,-Simulation!$E$34)),IF(Simulation!$F$11="Amortissable différé total",IF(B151&lt;=Simulation!$F$12,0,PMT(Simulation!$F$8/12,Simulation!$F$10*12,-Simulation!$E$34)),IF(Simulation!$F$11="In fine",IF(B151=Simulation!$F$10*12,Simulation!$E$34,Simulation!$F$8*Simulation!$E$34/12),0)))),0)</f>
        <v>860.8610094454034</v>
      </c>
      <c r="H151" s="113">
        <f>Simulation!$C$16/12*(1+Simulation!$F$15)^INT((B151-1)/12)*(B151&lt;=Simulation!$F$24*12)</f>
        <v>1115.6683466653164</v>
      </c>
      <c r="I151" s="114">
        <f>(Simulation!$F$22-VLOOKUP(Simulation!$C$27,'Comparatif fiscal'!$B$8:$E$17,4,FALSE)-C151)*(B151=Simulation!$F$24*12)</f>
        <v>98824.45739266483</v>
      </c>
      <c r="J151" s="114">
        <f>(Simulation!$C$21+Simulation!$C$22)/12*(1+Simulation!$F$17)^INT((B151-1)/12)*(B151&lt;=Simulation!$F$24*12)</f>
        <v>139.45854333316456</v>
      </c>
      <c r="K151" s="114">
        <f>(H151*Simulation!$C$24+Simulation!$C$23/12*(1+Simulation!$F$15)^INT((B151-1)/12))*(B151&lt;=Simulation!$F$24*12)</f>
        <v>115.28572915541605</v>
      </c>
      <c r="L151" s="114">
        <f>Simulation!$C$19/12*(1+Simulation!$F$18)^INT((B151-1)/12)*(B151&lt;=Simulation!$F$24*12)</f>
        <v>55.783417333265831</v>
      </c>
      <c r="M151" s="114">
        <f>(Simulation!$C$20/12*(1+Simulation!$F$19)^INT((B151-1)/12)+F151)*(B151&lt;=Simulation!$F$24*12)</f>
        <v>39.030569555544304</v>
      </c>
      <c r="N151" s="114">
        <f ca="1">SUMIF('Détail fiscalité'!$B$8:$B$37,INT(B151/12),'Détail fiscalité'!$CI$8:$CI$37)/12+SUMIF('Détail fiscalité'!$B$8:$B$37,B151/12,'Détail fiscalité'!$CI$8:$CI$37)-SUMIF('Détail fiscalité'!$B$8:$B$37,B151/12-1,'Détail fiscalité'!$CI$8:$CI$37)</f>
        <v>0</v>
      </c>
      <c r="O151" s="116">
        <f t="shared" ca="1" si="20"/>
        <v>98729.706470507357</v>
      </c>
    </row>
    <row r="152" spans="2:15" x14ac:dyDescent="0.15">
      <c r="B152" s="40">
        <f t="shared" si="19"/>
        <v>145</v>
      </c>
      <c r="C152" s="113">
        <f>IF(B152&lt;=MIN(Simulation!$F$10*12+Simulation!$F$12*OR(Simulation!$F$11="Amortissable différé partiel",Simulation!$F$11="Amortissable différé total"),Simulation!$F$24*12),IF(AND(B152&lt;=Simulation!$F$12,OR(Simulation!$F$11="Amortissable différé partiel",Simulation!$F$11="Amortissable différé total")),C151*(1+(Simulation!$F$11="Amortissable différé total")*Simulation!$F$8/12),C151-D152),0)</f>
        <v>0</v>
      </c>
      <c r="D152" s="114">
        <f>IF(B152&lt;=MIN(Simulation!$F$10*12+Simulation!$F$12*OR(Simulation!$F$11="Amortissable différé partiel",Simulation!$F$11="Amortissable différé total"),Simulation!$F$24*12),G152-E152,0)</f>
        <v>0</v>
      </c>
      <c r="E152" s="114">
        <f>IF(B152&lt;=MIN(Simulation!$F$10*12+Simulation!$F$12*OR(Simulation!$F$11="Amortissable différé partiel",Simulation!$F$11="Amortissable différé total"),Simulation!$F$24*12),IF(AND(B152&lt;=Simulation!$F$12,Simulation!$F$11="Amortissable différé total"),0,C151*Simulation!$F$8/12),0)</f>
        <v>0</v>
      </c>
      <c r="F152" s="114">
        <f>IF(B152&lt;=MIN(Simulation!$F$10*12+Simulation!$F$12*OR(Simulation!$F$11="Amortissable différé partiel",Simulation!$F$11="Amortissable différé total"),Simulation!$F$24*12),Simulation!$E$33*Simulation!$F$9/12,0)</f>
        <v>0</v>
      </c>
      <c r="G152" s="115">
        <f>IF(B152&lt;=MIN(Simulation!$F$10*12+Simulation!$F$12*OR(Simulation!$F$11="Amortissable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partiel",IF(B152&lt;=Simulation!$F$12,Simulation!$E$33*Simulation!$F$8/12,PMT(Simulation!$F$8/12,Simulation!$F$10*12,-Simulation!$E$34)),IF(Simulation!$F$11="Amortissable différé total",IF(B152&lt;=Simulation!$F$12,0,PMT(Simulation!$F$8/12,Simulation!$F$10*12,-Simulation!$E$34)),IF(Simulation!$F$11="In fine",IF(B152=Simulation!$F$10*12,Simulation!$E$34,Simulation!$F$8*Simulation!$E$34/12),0)))),0)</f>
        <v>0</v>
      </c>
      <c r="H152" s="113">
        <f>Simulation!$C$16/12*(1+Simulation!$F$15)^INT((B152-1)/12)*(B152&lt;=Simulation!$F$24*12)</f>
        <v>0</v>
      </c>
      <c r="I152" s="114">
        <f>(Simulation!$F$22-VLOOKUP(Simulation!$C$27,'Comparatif fiscal'!$B$8:$E$17,4,FALSE)-C152)*(B152=Simulation!$F$24*12)</f>
        <v>0</v>
      </c>
      <c r="J152" s="114">
        <f>(Simulation!$C$21+Simulation!$C$22)/12*(1+Simulation!$F$17)^INT((B152-1)/12)*(B152&lt;=Simulation!$F$24*12)</f>
        <v>0</v>
      </c>
      <c r="K152" s="114">
        <f>(H152*Simulation!$C$24+Simulation!$C$23/12*(1+Simulation!$F$15)^INT((B152-1)/12))*(B152&lt;=Simulation!$F$24*12)</f>
        <v>0</v>
      </c>
      <c r="L152" s="114">
        <f>Simulation!$C$19/12*(1+Simulation!$F$18)^INT((B152-1)/12)*(B152&lt;=Simulation!$F$24*12)</f>
        <v>0</v>
      </c>
      <c r="M152" s="114">
        <f>(Simulation!$C$20/12*(1+Simulation!$F$19)^INT((B152-1)/12)+F152)*(B152&lt;=Simulation!$F$24*12)</f>
        <v>0</v>
      </c>
      <c r="N152" s="114">
        <f ca="1">SUMIF('Détail fiscalité'!$B$8:$B$37,INT(B152/12),'Détail fiscalité'!$CI$8:$CI$37)/12+SUMIF('Détail fiscalité'!$B$8:$B$37,B152/12,'Détail fiscalité'!$CI$8:$CI$37)-SUMIF('Détail fiscalité'!$B$8:$B$37,B152/12-1,'Détail fiscalité'!$CI$8:$CI$37)</f>
        <v>0</v>
      </c>
      <c r="O152" s="116">
        <f t="shared" ca="1" si="20"/>
        <v>0</v>
      </c>
    </row>
    <row r="153" spans="2:15" x14ac:dyDescent="0.15">
      <c r="B153" s="40">
        <f t="shared" si="19"/>
        <v>146</v>
      </c>
      <c r="C153" s="113">
        <f>IF(B153&lt;=MIN(Simulation!$F$10*12+Simulation!$F$12*OR(Simulation!$F$11="Amortissable différé partiel",Simulation!$F$11="Amortissable différé total"),Simulation!$F$24*12),IF(AND(B153&lt;=Simulation!$F$12,OR(Simulation!$F$11="Amortissable différé partiel",Simulation!$F$11="Amortissable différé total")),C152*(1+(Simulation!$F$11="Amortissable différé total")*Simulation!$F$8/12),C152-D153),0)</f>
        <v>0</v>
      </c>
      <c r="D153" s="114">
        <f>IF(B153&lt;=MIN(Simulation!$F$10*12+Simulation!$F$12*OR(Simulation!$F$11="Amortissable différé partiel",Simulation!$F$11="Amortissable différé total"),Simulation!$F$24*12),G153-E153,0)</f>
        <v>0</v>
      </c>
      <c r="E153" s="114">
        <f>IF(B153&lt;=MIN(Simulation!$F$10*12+Simulation!$F$12*OR(Simulation!$F$11="Amortissable différé partiel",Simulation!$F$11="Amortissable différé total"),Simulation!$F$24*12),IF(AND(B153&lt;=Simulation!$F$12,Simulation!$F$11="Amortissable différé total"),0,C152*Simulation!$F$8/12),0)</f>
        <v>0</v>
      </c>
      <c r="F153" s="114">
        <f>IF(B153&lt;=MIN(Simulation!$F$10*12+Simulation!$F$12*OR(Simulation!$F$11="Amortissable différé partiel",Simulation!$F$11="Amortissable différé total"),Simulation!$F$24*12),Simulation!$E$33*Simulation!$F$9/12,0)</f>
        <v>0</v>
      </c>
      <c r="G153" s="115">
        <f>IF(B153&lt;=MIN(Simulation!$F$10*12+Simulation!$F$12*OR(Simulation!$F$11="Amortissable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partiel",IF(B153&lt;=Simulation!$F$12,Simulation!$E$33*Simulation!$F$8/12,PMT(Simulation!$F$8/12,Simulation!$F$10*12,-Simulation!$E$34)),IF(Simulation!$F$11="Amortissable différé total",IF(B153&lt;=Simulation!$F$12,0,PMT(Simulation!$F$8/12,Simulation!$F$10*12,-Simulation!$E$34)),IF(Simulation!$F$11="In fine",IF(B153=Simulation!$F$10*12,Simulation!$E$34,Simulation!$F$8*Simulation!$E$34/12),0)))),0)</f>
        <v>0</v>
      </c>
      <c r="H153" s="113">
        <f>Simulation!$C$16/12*(1+Simulation!$F$15)^INT((B153-1)/12)*(B153&lt;=Simulation!$F$24*12)</f>
        <v>0</v>
      </c>
      <c r="I153" s="114">
        <f>(Simulation!$F$22-VLOOKUP(Simulation!$C$27,'Comparatif fiscal'!$B$8:$E$17,4,FALSE)-C153)*(B153=Simulation!$F$24*12)</f>
        <v>0</v>
      </c>
      <c r="J153" s="114">
        <f>(Simulation!$C$21+Simulation!$C$22)/12*(1+Simulation!$F$17)^INT((B153-1)/12)*(B153&lt;=Simulation!$F$24*12)</f>
        <v>0</v>
      </c>
      <c r="K153" s="114">
        <f>(H153*Simulation!$C$24+Simulation!$C$23/12*(1+Simulation!$F$15)^INT((B153-1)/12))*(B153&lt;=Simulation!$F$24*12)</f>
        <v>0</v>
      </c>
      <c r="L153" s="114">
        <f>Simulation!$C$19/12*(1+Simulation!$F$18)^INT((B153-1)/12)*(B153&lt;=Simulation!$F$24*12)</f>
        <v>0</v>
      </c>
      <c r="M153" s="114">
        <f>(Simulation!$C$20/12*(1+Simulation!$F$19)^INT((B153-1)/12)+F153)*(B153&lt;=Simulation!$F$24*12)</f>
        <v>0</v>
      </c>
      <c r="N153" s="114">
        <f ca="1">SUMIF('Détail fiscalité'!$B$8:$B$37,INT(B153/12),'Détail fiscalité'!$CI$8:$CI$37)/12+SUMIF('Détail fiscalité'!$B$8:$B$37,B153/12,'Détail fiscalité'!$CI$8:$CI$37)-SUMIF('Détail fiscalité'!$B$8:$B$37,B153/12-1,'Détail fiscalité'!$CI$8:$CI$37)</f>
        <v>0</v>
      </c>
      <c r="O153" s="116">
        <f t="shared" ca="1" si="20"/>
        <v>0</v>
      </c>
    </row>
    <row r="154" spans="2:15" x14ac:dyDescent="0.15">
      <c r="B154" s="40">
        <f t="shared" si="19"/>
        <v>147</v>
      </c>
      <c r="C154" s="113">
        <f>IF(B154&lt;=MIN(Simulation!$F$10*12+Simulation!$F$12*OR(Simulation!$F$11="Amortissable différé partiel",Simulation!$F$11="Amortissable différé total"),Simulation!$F$24*12),IF(AND(B154&lt;=Simulation!$F$12,OR(Simulation!$F$11="Amortissable différé partiel",Simulation!$F$11="Amortissable différé total")),C153*(1+(Simulation!$F$11="Amortissable différé total")*Simulation!$F$8/12),C153-D154),0)</f>
        <v>0</v>
      </c>
      <c r="D154" s="114">
        <f>IF(B154&lt;=MIN(Simulation!$F$10*12+Simulation!$F$12*OR(Simulation!$F$11="Amortissable différé partiel",Simulation!$F$11="Amortissable différé total"),Simulation!$F$24*12),G154-E154,0)</f>
        <v>0</v>
      </c>
      <c r="E154" s="114">
        <f>IF(B154&lt;=MIN(Simulation!$F$10*12+Simulation!$F$12*OR(Simulation!$F$11="Amortissable différé partiel",Simulation!$F$11="Amortissable différé total"),Simulation!$F$24*12),IF(AND(B154&lt;=Simulation!$F$12,Simulation!$F$11="Amortissable différé total"),0,C153*Simulation!$F$8/12),0)</f>
        <v>0</v>
      </c>
      <c r="F154" s="114">
        <f>IF(B154&lt;=MIN(Simulation!$F$10*12+Simulation!$F$12*OR(Simulation!$F$11="Amortissable différé partiel",Simulation!$F$11="Amortissable différé total"),Simulation!$F$24*12),Simulation!$E$33*Simulation!$F$9/12,0)</f>
        <v>0</v>
      </c>
      <c r="G154" s="115">
        <f>IF(B154&lt;=MIN(Simulation!$F$10*12+Simulation!$F$12*OR(Simulation!$F$11="Amortissable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partiel",IF(B154&lt;=Simulation!$F$12,Simulation!$E$33*Simulation!$F$8/12,PMT(Simulation!$F$8/12,Simulation!$F$10*12,-Simulation!$E$34)),IF(Simulation!$F$11="Amortissable différé total",IF(B154&lt;=Simulation!$F$12,0,PMT(Simulation!$F$8/12,Simulation!$F$10*12,-Simulation!$E$34)),IF(Simulation!$F$11="In fine",IF(B154=Simulation!$F$10*12,Simulation!$E$34,Simulation!$F$8*Simulation!$E$34/12),0)))),0)</f>
        <v>0</v>
      </c>
      <c r="H154" s="113">
        <f>Simulation!$C$16/12*(1+Simulation!$F$15)^INT((B154-1)/12)*(B154&lt;=Simulation!$F$24*12)</f>
        <v>0</v>
      </c>
      <c r="I154" s="114">
        <f>(Simulation!$F$22-VLOOKUP(Simulation!$C$27,'Comparatif fiscal'!$B$8:$E$17,4,FALSE)-C154)*(B154=Simulation!$F$24*12)</f>
        <v>0</v>
      </c>
      <c r="J154" s="114">
        <f>(Simulation!$C$21+Simulation!$C$22)/12*(1+Simulation!$F$17)^INT((B154-1)/12)*(B154&lt;=Simulation!$F$24*12)</f>
        <v>0</v>
      </c>
      <c r="K154" s="114">
        <f>(H154*Simulation!$C$24+Simulation!$C$23/12*(1+Simulation!$F$15)^INT((B154-1)/12))*(B154&lt;=Simulation!$F$24*12)</f>
        <v>0</v>
      </c>
      <c r="L154" s="114">
        <f>Simulation!$C$19/12*(1+Simulation!$F$18)^INT((B154-1)/12)*(B154&lt;=Simulation!$F$24*12)</f>
        <v>0</v>
      </c>
      <c r="M154" s="114">
        <f>(Simulation!$C$20/12*(1+Simulation!$F$19)^INT((B154-1)/12)+F154)*(B154&lt;=Simulation!$F$24*12)</f>
        <v>0</v>
      </c>
      <c r="N154" s="114">
        <f ca="1">SUMIF('Détail fiscalité'!$B$8:$B$37,INT(B154/12),'Détail fiscalité'!$CI$8:$CI$37)/12+SUMIF('Détail fiscalité'!$B$8:$B$37,B154/12,'Détail fiscalité'!$CI$8:$CI$37)-SUMIF('Détail fiscalité'!$B$8:$B$37,B154/12-1,'Détail fiscalité'!$CI$8:$CI$37)</f>
        <v>0</v>
      </c>
      <c r="O154" s="116">
        <f t="shared" ca="1" si="20"/>
        <v>0</v>
      </c>
    </row>
    <row r="155" spans="2:15" x14ac:dyDescent="0.15">
      <c r="B155" s="40">
        <f t="shared" si="19"/>
        <v>148</v>
      </c>
      <c r="C155" s="113">
        <f>IF(B155&lt;=MIN(Simulation!$F$10*12+Simulation!$F$12*OR(Simulation!$F$11="Amortissable différé partiel",Simulation!$F$11="Amortissable différé total"),Simulation!$F$24*12),IF(AND(B155&lt;=Simulation!$F$12,OR(Simulation!$F$11="Amortissable différé partiel",Simulation!$F$11="Amortissable différé total")),C154*(1+(Simulation!$F$11="Amortissable différé total")*Simulation!$F$8/12),C154-D155),0)</f>
        <v>0</v>
      </c>
      <c r="D155" s="114">
        <f>IF(B155&lt;=MIN(Simulation!$F$10*12+Simulation!$F$12*OR(Simulation!$F$11="Amortissable différé partiel",Simulation!$F$11="Amortissable différé total"),Simulation!$F$24*12),G155-E155,0)</f>
        <v>0</v>
      </c>
      <c r="E155" s="114">
        <f>IF(B155&lt;=MIN(Simulation!$F$10*12+Simulation!$F$12*OR(Simulation!$F$11="Amortissable différé partiel",Simulation!$F$11="Amortissable différé total"),Simulation!$F$24*12),IF(AND(B155&lt;=Simulation!$F$12,Simulation!$F$11="Amortissable différé total"),0,C154*Simulation!$F$8/12),0)</f>
        <v>0</v>
      </c>
      <c r="F155" s="114">
        <f>IF(B155&lt;=MIN(Simulation!$F$10*12+Simulation!$F$12*OR(Simulation!$F$11="Amortissable différé partiel",Simulation!$F$11="Amortissable différé total"),Simulation!$F$24*12),Simulation!$E$33*Simulation!$F$9/12,0)</f>
        <v>0</v>
      </c>
      <c r="G155" s="115">
        <f>IF(B155&lt;=MIN(Simulation!$F$10*12+Simulation!$F$12*OR(Simulation!$F$11="Amortissable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partiel",IF(B155&lt;=Simulation!$F$12,Simulation!$E$33*Simulation!$F$8/12,PMT(Simulation!$F$8/12,Simulation!$F$10*12,-Simulation!$E$34)),IF(Simulation!$F$11="Amortissable différé total",IF(B155&lt;=Simulation!$F$12,0,PMT(Simulation!$F$8/12,Simulation!$F$10*12,-Simulation!$E$34)),IF(Simulation!$F$11="In fine",IF(B155=Simulation!$F$10*12,Simulation!$E$34,Simulation!$F$8*Simulation!$E$34/12),0)))),0)</f>
        <v>0</v>
      </c>
      <c r="H155" s="113">
        <f>Simulation!$C$16/12*(1+Simulation!$F$15)^INT((B155-1)/12)*(B155&lt;=Simulation!$F$24*12)</f>
        <v>0</v>
      </c>
      <c r="I155" s="114">
        <f>(Simulation!$F$22-VLOOKUP(Simulation!$C$27,'Comparatif fiscal'!$B$8:$E$17,4,FALSE)-C155)*(B155=Simulation!$F$24*12)</f>
        <v>0</v>
      </c>
      <c r="J155" s="114">
        <f>(Simulation!$C$21+Simulation!$C$22)/12*(1+Simulation!$F$17)^INT((B155-1)/12)*(B155&lt;=Simulation!$F$24*12)</f>
        <v>0</v>
      </c>
      <c r="K155" s="114">
        <f>(H155*Simulation!$C$24+Simulation!$C$23/12*(1+Simulation!$F$15)^INT((B155-1)/12))*(B155&lt;=Simulation!$F$24*12)</f>
        <v>0</v>
      </c>
      <c r="L155" s="114">
        <f>Simulation!$C$19/12*(1+Simulation!$F$18)^INT((B155-1)/12)*(B155&lt;=Simulation!$F$24*12)</f>
        <v>0</v>
      </c>
      <c r="M155" s="114">
        <f>(Simulation!$C$20/12*(1+Simulation!$F$19)^INT((B155-1)/12)+F155)*(B155&lt;=Simulation!$F$24*12)</f>
        <v>0</v>
      </c>
      <c r="N155" s="114">
        <f ca="1">SUMIF('Détail fiscalité'!$B$8:$B$37,INT(B155/12),'Détail fiscalité'!$CI$8:$CI$37)/12+SUMIF('Détail fiscalité'!$B$8:$B$37,B155/12,'Détail fiscalité'!$CI$8:$CI$37)-SUMIF('Détail fiscalité'!$B$8:$B$37,B155/12-1,'Détail fiscalité'!$CI$8:$CI$37)</f>
        <v>0</v>
      </c>
      <c r="O155" s="116">
        <f t="shared" ca="1" si="20"/>
        <v>0</v>
      </c>
    </row>
    <row r="156" spans="2:15" x14ac:dyDescent="0.15">
      <c r="B156" s="40">
        <f t="shared" si="19"/>
        <v>149</v>
      </c>
      <c r="C156" s="113">
        <f>IF(B156&lt;=MIN(Simulation!$F$10*12+Simulation!$F$12*OR(Simulation!$F$11="Amortissable différé partiel",Simulation!$F$11="Amortissable différé total"),Simulation!$F$24*12),IF(AND(B156&lt;=Simulation!$F$12,OR(Simulation!$F$11="Amortissable différé partiel",Simulation!$F$11="Amortissable différé total")),C155*(1+(Simulation!$F$11="Amortissable différé total")*Simulation!$F$8/12),C155-D156),0)</f>
        <v>0</v>
      </c>
      <c r="D156" s="114">
        <f>IF(B156&lt;=MIN(Simulation!$F$10*12+Simulation!$F$12*OR(Simulation!$F$11="Amortissable différé partiel",Simulation!$F$11="Amortissable différé total"),Simulation!$F$24*12),G156-E156,0)</f>
        <v>0</v>
      </c>
      <c r="E156" s="114">
        <f>IF(B156&lt;=MIN(Simulation!$F$10*12+Simulation!$F$12*OR(Simulation!$F$11="Amortissable différé partiel",Simulation!$F$11="Amortissable différé total"),Simulation!$F$24*12),IF(AND(B156&lt;=Simulation!$F$12,Simulation!$F$11="Amortissable différé total"),0,C155*Simulation!$F$8/12),0)</f>
        <v>0</v>
      </c>
      <c r="F156" s="114">
        <f>IF(B156&lt;=MIN(Simulation!$F$10*12+Simulation!$F$12*OR(Simulation!$F$11="Amortissable différé partiel",Simulation!$F$11="Amortissable différé total"),Simulation!$F$24*12),Simulation!$E$33*Simulation!$F$9/12,0)</f>
        <v>0</v>
      </c>
      <c r="G156" s="115">
        <f>IF(B156&lt;=MIN(Simulation!$F$10*12+Simulation!$F$12*OR(Simulation!$F$11="Amortissable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partiel",IF(B156&lt;=Simulation!$F$12,Simulation!$E$33*Simulation!$F$8/12,PMT(Simulation!$F$8/12,Simulation!$F$10*12,-Simulation!$E$34)),IF(Simulation!$F$11="Amortissable différé total",IF(B156&lt;=Simulation!$F$12,0,PMT(Simulation!$F$8/12,Simulation!$F$10*12,-Simulation!$E$34)),IF(Simulation!$F$11="In fine",IF(B156=Simulation!$F$10*12,Simulation!$E$34,Simulation!$F$8*Simulation!$E$34/12),0)))),0)</f>
        <v>0</v>
      </c>
      <c r="H156" s="113">
        <f>Simulation!$C$16/12*(1+Simulation!$F$15)^INT((B156-1)/12)*(B156&lt;=Simulation!$F$24*12)</f>
        <v>0</v>
      </c>
      <c r="I156" s="114">
        <f>(Simulation!$F$22-VLOOKUP(Simulation!$C$27,'Comparatif fiscal'!$B$8:$E$17,4,FALSE)-C156)*(B156=Simulation!$F$24*12)</f>
        <v>0</v>
      </c>
      <c r="J156" s="114">
        <f>(Simulation!$C$21+Simulation!$C$22)/12*(1+Simulation!$F$17)^INT((B156-1)/12)*(B156&lt;=Simulation!$F$24*12)</f>
        <v>0</v>
      </c>
      <c r="K156" s="114">
        <f>(H156*Simulation!$C$24+Simulation!$C$23/12*(1+Simulation!$F$15)^INT((B156-1)/12))*(B156&lt;=Simulation!$F$24*12)</f>
        <v>0</v>
      </c>
      <c r="L156" s="114">
        <f>Simulation!$C$19/12*(1+Simulation!$F$18)^INT((B156-1)/12)*(B156&lt;=Simulation!$F$24*12)</f>
        <v>0</v>
      </c>
      <c r="M156" s="114">
        <f>(Simulation!$C$20/12*(1+Simulation!$F$19)^INT((B156-1)/12)+F156)*(B156&lt;=Simulation!$F$24*12)</f>
        <v>0</v>
      </c>
      <c r="N156" s="114">
        <f ca="1">SUMIF('Détail fiscalité'!$B$8:$B$37,INT(B156/12),'Détail fiscalité'!$CI$8:$CI$37)/12+SUMIF('Détail fiscalité'!$B$8:$B$37,B156/12,'Détail fiscalité'!$CI$8:$CI$37)-SUMIF('Détail fiscalité'!$B$8:$B$37,B156/12-1,'Détail fiscalité'!$CI$8:$CI$37)</f>
        <v>0</v>
      </c>
      <c r="O156" s="116">
        <f t="shared" ca="1" si="20"/>
        <v>0</v>
      </c>
    </row>
    <row r="157" spans="2:15" x14ac:dyDescent="0.15">
      <c r="B157" s="40">
        <f t="shared" si="19"/>
        <v>150</v>
      </c>
      <c r="C157" s="113">
        <f>IF(B157&lt;=MIN(Simulation!$F$10*12+Simulation!$F$12*OR(Simulation!$F$11="Amortissable différé partiel",Simulation!$F$11="Amortissable différé total"),Simulation!$F$24*12),IF(AND(B157&lt;=Simulation!$F$12,OR(Simulation!$F$11="Amortissable différé partiel",Simulation!$F$11="Amortissable différé total")),C156*(1+(Simulation!$F$11="Amortissable différé total")*Simulation!$F$8/12),C156-D157),0)</f>
        <v>0</v>
      </c>
      <c r="D157" s="114">
        <f>IF(B157&lt;=MIN(Simulation!$F$10*12+Simulation!$F$12*OR(Simulation!$F$11="Amortissable différé partiel",Simulation!$F$11="Amortissable différé total"),Simulation!$F$24*12),G157-E157,0)</f>
        <v>0</v>
      </c>
      <c r="E157" s="114">
        <f>IF(B157&lt;=MIN(Simulation!$F$10*12+Simulation!$F$12*OR(Simulation!$F$11="Amortissable différé partiel",Simulation!$F$11="Amortissable différé total"),Simulation!$F$24*12),IF(AND(B157&lt;=Simulation!$F$12,Simulation!$F$11="Amortissable différé total"),0,C156*Simulation!$F$8/12),0)</f>
        <v>0</v>
      </c>
      <c r="F157" s="114">
        <f>IF(B157&lt;=MIN(Simulation!$F$10*12+Simulation!$F$12*OR(Simulation!$F$11="Amortissable différé partiel",Simulation!$F$11="Amortissable différé total"),Simulation!$F$24*12),Simulation!$E$33*Simulation!$F$9/12,0)</f>
        <v>0</v>
      </c>
      <c r="G157" s="115">
        <f>IF(B157&lt;=MIN(Simulation!$F$10*12+Simulation!$F$12*OR(Simulation!$F$11="Amortissable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partiel",IF(B157&lt;=Simulation!$F$12,Simulation!$E$33*Simulation!$F$8/12,PMT(Simulation!$F$8/12,Simulation!$F$10*12,-Simulation!$E$34)),IF(Simulation!$F$11="Amortissable différé total",IF(B157&lt;=Simulation!$F$12,0,PMT(Simulation!$F$8/12,Simulation!$F$10*12,-Simulation!$E$34)),IF(Simulation!$F$11="In fine",IF(B157=Simulation!$F$10*12,Simulation!$E$34,Simulation!$F$8*Simulation!$E$34/12),0)))),0)</f>
        <v>0</v>
      </c>
      <c r="H157" s="113">
        <f>Simulation!$C$16/12*(1+Simulation!$F$15)^INT((B157-1)/12)*(B157&lt;=Simulation!$F$24*12)</f>
        <v>0</v>
      </c>
      <c r="I157" s="114">
        <f>(Simulation!$F$22-VLOOKUP(Simulation!$C$27,'Comparatif fiscal'!$B$8:$E$17,4,FALSE)-C157)*(B157=Simulation!$F$24*12)</f>
        <v>0</v>
      </c>
      <c r="J157" s="114">
        <f>(Simulation!$C$21+Simulation!$C$22)/12*(1+Simulation!$F$17)^INT((B157-1)/12)*(B157&lt;=Simulation!$F$24*12)</f>
        <v>0</v>
      </c>
      <c r="K157" s="114">
        <f>(H157*Simulation!$C$24+Simulation!$C$23/12*(1+Simulation!$F$15)^INT((B157-1)/12))*(B157&lt;=Simulation!$F$24*12)</f>
        <v>0</v>
      </c>
      <c r="L157" s="114">
        <f>Simulation!$C$19/12*(1+Simulation!$F$18)^INT((B157-1)/12)*(B157&lt;=Simulation!$F$24*12)</f>
        <v>0</v>
      </c>
      <c r="M157" s="114">
        <f>(Simulation!$C$20/12*(1+Simulation!$F$19)^INT((B157-1)/12)+F157)*(B157&lt;=Simulation!$F$24*12)</f>
        <v>0</v>
      </c>
      <c r="N157" s="114">
        <f ca="1">SUMIF('Détail fiscalité'!$B$8:$B$37,INT(B157/12),'Détail fiscalité'!$CI$8:$CI$37)/12+SUMIF('Détail fiscalité'!$B$8:$B$37,B157/12,'Détail fiscalité'!$CI$8:$CI$37)-SUMIF('Détail fiscalité'!$B$8:$B$37,B157/12-1,'Détail fiscalité'!$CI$8:$CI$37)</f>
        <v>0</v>
      </c>
      <c r="O157" s="116">
        <f t="shared" ca="1" si="20"/>
        <v>0</v>
      </c>
    </row>
    <row r="158" spans="2:15" x14ac:dyDescent="0.15">
      <c r="B158" s="40">
        <f t="shared" si="19"/>
        <v>151</v>
      </c>
      <c r="C158" s="113">
        <f>IF(B158&lt;=MIN(Simulation!$F$10*12+Simulation!$F$12*OR(Simulation!$F$11="Amortissable différé partiel",Simulation!$F$11="Amortissable différé total"),Simulation!$F$24*12),IF(AND(B158&lt;=Simulation!$F$12,OR(Simulation!$F$11="Amortissable différé partiel",Simulation!$F$11="Amortissable différé total")),C157*(1+(Simulation!$F$11="Amortissable différé total")*Simulation!$F$8/12),C157-D158),0)</f>
        <v>0</v>
      </c>
      <c r="D158" s="114">
        <f>IF(B158&lt;=MIN(Simulation!$F$10*12+Simulation!$F$12*OR(Simulation!$F$11="Amortissable différé partiel",Simulation!$F$11="Amortissable différé total"),Simulation!$F$24*12),G158-E158,0)</f>
        <v>0</v>
      </c>
      <c r="E158" s="114">
        <f>IF(B158&lt;=MIN(Simulation!$F$10*12+Simulation!$F$12*OR(Simulation!$F$11="Amortissable différé partiel",Simulation!$F$11="Amortissable différé total"),Simulation!$F$24*12),IF(AND(B158&lt;=Simulation!$F$12,Simulation!$F$11="Amortissable différé total"),0,C157*Simulation!$F$8/12),0)</f>
        <v>0</v>
      </c>
      <c r="F158" s="114">
        <f>IF(B158&lt;=MIN(Simulation!$F$10*12+Simulation!$F$12*OR(Simulation!$F$11="Amortissable différé partiel",Simulation!$F$11="Amortissable différé total"),Simulation!$F$24*12),Simulation!$E$33*Simulation!$F$9/12,0)</f>
        <v>0</v>
      </c>
      <c r="G158" s="115">
        <f>IF(B158&lt;=MIN(Simulation!$F$10*12+Simulation!$F$12*OR(Simulation!$F$11="Amortissable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partiel",IF(B158&lt;=Simulation!$F$12,Simulation!$E$33*Simulation!$F$8/12,PMT(Simulation!$F$8/12,Simulation!$F$10*12,-Simulation!$E$34)),IF(Simulation!$F$11="Amortissable différé total",IF(B158&lt;=Simulation!$F$12,0,PMT(Simulation!$F$8/12,Simulation!$F$10*12,-Simulation!$E$34)),IF(Simulation!$F$11="In fine",IF(B158=Simulation!$F$10*12,Simulation!$E$34,Simulation!$F$8*Simulation!$E$34/12),0)))),0)</f>
        <v>0</v>
      </c>
      <c r="H158" s="113">
        <f>Simulation!$C$16/12*(1+Simulation!$F$15)^INT((B158-1)/12)*(B158&lt;=Simulation!$F$24*12)</f>
        <v>0</v>
      </c>
      <c r="I158" s="114">
        <f>(Simulation!$F$22-VLOOKUP(Simulation!$C$27,'Comparatif fiscal'!$B$8:$E$17,4,FALSE)-C158)*(B158=Simulation!$F$24*12)</f>
        <v>0</v>
      </c>
      <c r="J158" s="114">
        <f>(Simulation!$C$21+Simulation!$C$22)/12*(1+Simulation!$F$17)^INT((B158-1)/12)*(B158&lt;=Simulation!$F$24*12)</f>
        <v>0</v>
      </c>
      <c r="K158" s="114">
        <f>(H158*Simulation!$C$24+Simulation!$C$23/12*(1+Simulation!$F$15)^INT((B158-1)/12))*(B158&lt;=Simulation!$F$24*12)</f>
        <v>0</v>
      </c>
      <c r="L158" s="114">
        <f>Simulation!$C$19/12*(1+Simulation!$F$18)^INT((B158-1)/12)*(B158&lt;=Simulation!$F$24*12)</f>
        <v>0</v>
      </c>
      <c r="M158" s="114">
        <f>(Simulation!$C$20/12*(1+Simulation!$F$19)^INT((B158-1)/12)+F158)*(B158&lt;=Simulation!$F$24*12)</f>
        <v>0</v>
      </c>
      <c r="N158" s="114">
        <f ca="1">SUMIF('Détail fiscalité'!$B$8:$B$37,INT(B158/12),'Détail fiscalité'!$CI$8:$CI$37)/12+SUMIF('Détail fiscalité'!$B$8:$B$37,B158/12,'Détail fiscalité'!$CI$8:$CI$37)-SUMIF('Détail fiscalité'!$B$8:$B$37,B158/12-1,'Détail fiscalité'!$CI$8:$CI$37)</f>
        <v>0</v>
      </c>
      <c r="O158" s="116">
        <f t="shared" ca="1" si="20"/>
        <v>0</v>
      </c>
    </row>
    <row r="159" spans="2:15" x14ac:dyDescent="0.15">
      <c r="B159" s="40">
        <f t="shared" si="19"/>
        <v>152</v>
      </c>
      <c r="C159" s="113">
        <f>IF(B159&lt;=MIN(Simulation!$F$10*12+Simulation!$F$12*OR(Simulation!$F$11="Amortissable différé partiel",Simulation!$F$11="Amortissable différé total"),Simulation!$F$24*12),IF(AND(B159&lt;=Simulation!$F$12,OR(Simulation!$F$11="Amortissable différé partiel",Simulation!$F$11="Amortissable différé total")),C158*(1+(Simulation!$F$11="Amortissable différé total")*Simulation!$F$8/12),C158-D159),0)</f>
        <v>0</v>
      </c>
      <c r="D159" s="114">
        <f>IF(B159&lt;=MIN(Simulation!$F$10*12+Simulation!$F$12*OR(Simulation!$F$11="Amortissable différé partiel",Simulation!$F$11="Amortissable différé total"),Simulation!$F$24*12),G159-E159,0)</f>
        <v>0</v>
      </c>
      <c r="E159" s="114">
        <f>IF(B159&lt;=MIN(Simulation!$F$10*12+Simulation!$F$12*OR(Simulation!$F$11="Amortissable différé partiel",Simulation!$F$11="Amortissable différé total"),Simulation!$F$24*12),IF(AND(B159&lt;=Simulation!$F$12,Simulation!$F$11="Amortissable différé total"),0,C158*Simulation!$F$8/12),0)</f>
        <v>0</v>
      </c>
      <c r="F159" s="114">
        <f>IF(B159&lt;=MIN(Simulation!$F$10*12+Simulation!$F$12*OR(Simulation!$F$11="Amortissable différé partiel",Simulation!$F$11="Amortissable différé total"),Simulation!$F$24*12),Simulation!$E$33*Simulation!$F$9/12,0)</f>
        <v>0</v>
      </c>
      <c r="G159" s="115">
        <f>IF(B159&lt;=MIN(Simulation!$F$10*12+Simulation!$F$12*OR(Simulation!$F$11="Amortissable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partiel",IF(B159&lt;=Simulation!$F$12,Simulation!$E$33*Simulation!$F$8/12,PMT(Simulation!$F$8/12,Simulation!$F$10*12,-Simulation!$E$34)),IF(Simulation!$F$11="Amortissable différé total",IF(B159&lt;=Simulation!$F$12,0,PMT(Simulation!$F$8/12,Simulation!$F$10*12,-Simulation!$E$34)),IF(Simulation!$F$11="In fine",IF(B159=Simulation!$F$10*12,Simulation!$E$34,Simulation!$F$8*Simulation!$E$34/12),0)))),0)</f>
        <v>0</v>
      </c>
      <c r="H159" s="113">
        <f>Simulation!$C$16/12*(1+Simulation!$F$15)^INT((B159-1)/12)*(B159&lt;=Simulation!$F$24*12)</f>
        <v>0</v>
      </c>
      <c r="I159" s="114">
        <f>(Simulation!$F$22-VLOOKUP(Simulation!$C$27,'Comparatif fiscal'!$B$8:$E$17,4,FALSE)-C159)*(B159=Simulation!$F$24*12)</f>
        <v>0</v>
      </c>
      <c r="J159" s="114">
        <f>(Simulation!$C$21+Simulation!$C$22)/12*(1+Simulation!$F$17)^INT((B159-1)/12)*(B159&lt;=Simulation!$F$24*12)</f>
        <v>0</v>
      </c>
      <c r="K159" s="114">
        <f>(H159*Simulation!$C$24+Simulation!$C$23/12*(1+Simulation!$F$15)^INT((B159-1)/12))*(B159&lt;=Simulation!$F$24*12)</f>
        <v>0</v>
      </c>
      <c r="L159" s="114">
        <f>Simulation!$C$19/12*(1+Simulation!$F$18)^INT((B159-1)/12)*(B159&lt;=Simulation!$F$24*12)</f>
        <v>0</v>
      </c>
      <c r="M159" s="114">
        <f>(Simulation!$C$20/12*(1+Simulation!$F$19)^INT((B159-1)/12)+F159)*(B159&lt;=Simulation!$F$24*12)</f>
        <v>0</v>
      </c>
      <c r="N159" s="114">
        <f ca="1">SUMIF('Détail fiscalité'!$B$8:$B$37,INT(B159/12),'Détail fiscalité'!$CI$8:$CI$37)/12+SUMIF('Détail fiscalité'!$B$8:$B$37,B159/12,'Détail fiscalité'!$CI$8:$CI$37)-SUMIF('Détail fiscalité'!$B$8:$B$37,B159/12-1,'Détail fiscalité'!$CI$8:$CI$37)</f>
        <v>0</v>
      </c>
      <c r="O159" s="116">
        <f t="shared" ca="1" si="20"/>
        <v>0</v>
      </c>
    </row>
    <row r="160" spans="2:15" x14ac:dyDescent="0.15">
      <c r="B160" s="40">
        <f t="shared" si="19"/>
        <v>153</v>
      </c>
      <c r="C160" s="113">
        <f>IF(B160&lt;=MIN(Simulation!$F$10*12+Simulation!$F$12*OR(Simulation!$F$11="Amortissable différé partiel",Simulation!$F$11="Amortissable différé total"),Simulation!$F$24*12),IF(AND(B160&lt;=Simulation!$F$12,OR(Simulation!$F$11="Amortissable différé partiel",Simulation!$F$11="Amortissable différé total")),C159*(1+(Simulation!$F$11="Amortissable différé total")*Simulation!$F$8/12),C159-D160),0)</f>
        <v>0</v>
      </c>
      <c r="D160" s="114">
        <f>IF(B160&lt;=MIN(Simulation!$F$10*12+Simulation!$F$12*OR(Simulation!$F$11="Amortissable différé partiel",Simulation!$F$11="Amortissable différé total"),Simulation!$F$24*12),G160-E160,0)</f>
        <v>0</v>
      </c>
      <c r="E160" s="114">
        <f>IF(B160&lt;=MIN(Simulation!$F$10*12+Simulation!$F$12*OR(Simulation!$F$11="Amortissable différé partiel",Simulation!$F$11="Amortissable différé total"),Simulation!$F$24*12),IF(AND(B160&lt;=Simulation!$F$12,Simulation!$F$11="Amortissable différé total"),0,C159*Simulation!$F$8/12),0)</f>
        <v>0</v>
      </c>
      <c r="F160" s="114">
        <f>IF(B160&lt;=MIN(Simulation!$F$10*12+Simulation!$F$12*OR(Simulation!$F$11="Amortissable différé partiel",Simulation!$F$11="Amortissable différé total"),Simulation!$F$24*12),Simulation!$E$33*Simulation!$F$9/12,0)</f>
        <v>0</v>
      </c>
      <c r="G160" s="115">
        <f>IF(B160&lt;=MIN(Simulation!$F$10*12+Simulation!$F$12*OR(Simulation!$F$11="Amortissable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partiel",IF(B160&lt;=Simulation!$F$12,Simulation!$E$33*Simulation!$F$8/12,PMT(Simulation!$F$8/12,Simulation!$F$10*12,-Simulation!$E$34)),IF(Simulation!$F$11="Amortissable différé total",IF(B160&lt;=Simulation!$F$12,0,PMT(Simulation!$F$8/12,Simulation!$F$10*12,-Simulation!$E$34)),IF(Simulation!$F$11="In fine",IF(B160=Simulation!$F$10*12,Simulation!$E$34,Simulation!$F$8*Simulation!$E$34/12),0)))),0)</f>
        <v>0</v>
      </c>
      <c r="H160" s="113">
        <f>Simulation!$C$16/12*(1+Simulation!$F$15)^INT((B160-1)/12)*(B160&lt;=Simulation!$F$24*12)</f>
        <v>0</v>
      </c>
      <c r="I160" s="114">
        <f>(Simulation!$F$22-VLOOKUP(Simulation!$C$27,'Comparatif fiscal'!$B$8:$E$17,4,FALSE)-C160)*(B160=Simulation!$F$24*12)</f>
        <v>0</v>
      </c>
      <c r="J160" s="114">
        <f>(Simulation!$C$21+Simulation!$C$22)/12*(1+Simulation!$F$17)^INT((B160-1)/12)*(B160&lt;=Simulation!$F$24*12)</f>
        <v>0</v>
      </c>
      <c r="K160" s="114">
        <f>(H160*Simulation!$C$24+Simulation!$C$23/12*(1+Simulation!$F$15)^INT((B160-1)/12))*(B160&lt;=Simulation!$F$24*12)</f>
        <v>0</v>
      </c>
      <c r="L160" s="114">
        <f>Simulation!$C$19/12*(1+Simulation!$F$18)^INT((B160-1)/12)*(B160&lt;=Simulation!$F$24*12)</f>
        <v>0</v>
      </c>
      <c r="M160" s="114">
        <f>(Simulation!$C$20/12*(1+Simulation!$F$19)^INT((B160-1)/12)+F160)*(B160&lt;=Simulation!$F$24*12)</f>
        <v>0</v>
      </c>
      <c r="N160" s="114">
        <f ca="1">SUMIF('Détail fiscalité'!$B$8:$B$37,INT(B160/12),'Détail fiscalité'!$CI$8:$CI$37)/12+SUMIF('Détail fiscalité'!$B$8:$B$37,B160/12,'Détail fiscalité'!$CI$8:$CI$37)-SUMIF('Détail fiscalité'!$B$8:$B$37,B160/12-1,'Détail fiscalité'!$CI$8:$CI$37)</f>
        <v>0</v>
      </c>
      <c r="O160" s="116">
        <f t="shared" ca="1" si="20"/>
        <v>0</v>
      </c>
    </row>
    <row r="161" spans="2:15" x14ac:dyDescent="0.15">
      <c r="B161" s="40">
        <f t="shared" si="19"/>
        <v>154</v>
      </c>
      <c r="C161" s="113">
        <f>IF(B161&lt;=MIN(Simulation!$F$10*12+Simulation!$F$12*OR(Simulation!$F$11="Amortissable différé partiel",Simulation!$F$11="Amortissable différé total"),Simulation!$F$24*12),IF(AND(B161&lt;=Simulation!$F$12,OR(Simulation!$F$11="Amortissable différé partiel",Simulation!$F$11="Amortissable différé total")),C160*(1+(Simulation!$F$11="Amortissable différé total")*Simulation!$F$8/12),C160-D161),0)</f>
        <v>0</v>
      </c>
      <c r="D161" s="114">
        <f>IF(B161&lt;=MIN(Simulation!$F$10*12+Simulation!$F$12*OR(Simulation!$F$11="Amortissable différé partiel",Simulation!$F$11="Amortissable différé total"),Simulation!$F$24*12),G161-E161,0)</f>
        <v>0</v>
      </c>
      <c r="E161" s="114">
        <f>IF(B161&lt;=MIN(Simulation!$F$10*12+Simulation!$F$12*OR(Simulation!$F$11="Amortissable différé partiel",Simulation!$F$11="Amortissable différé total"),Simulation!$F$24*12),IF(AND(B161&lt;=Simulation!$F$12,Simulation!$F$11="Amortissable différé total"),0,C160*Simulation!$F$8/12),0)</f>
        <v>0</v>
      </c>
      <c r="F161" s="114">
        <f>IF(B161&lt;=MIN(Simulation!$F$10*12+Simulation!$F$12*OR(Simulation!$F$11="Amortissable différé partiel",Simulation!$F$11="Amortissable différé total"),Simulation!$F$24*12),Simulation!$E$33*Simulation!$F$9/12,0)</f>
        <v>0</v>
      </c>
      <c r="G161" s="115">
        <f>IF(B161&lt;=MIN(Simulation!$F$10*12+Simulation!$F$12*OR(Simulation!$F$11="Amortissable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partiel",IF(B161&lt;=Simulation!$F$12,Simulation!$E$33*Simulation!$F$8/12,PMT(Simulation!$F$8/12,Simulation!$F$10*12,-Simulation!$E$34)),IF(Simulation!$F$11="Amortissable différé total",IF(B161&lt;=Simulation!$F$12,0,PMT(Simulation!$F$8/12,Simulation!$F$10*12,-Simulation!$E$34)),IF(Simulation!$F$11="In fine",IF(B161=Simulation!$F$10*12,Simulation!$E$34,Simulation!$F$8*Simulation!$E$34/12),0)))),0)</f>
        <v>0</v>
      </c>
      <c r="H161" s="113">
        <f>Simulation!$C$16/12*(1+Simulation!$F$15)^INT((B161-1)/12)*(B161&lt;=Simulation!$F$24*12)</f>
        <v>0</v>
      </c>
      <c r="I161" s="114">
        <f>(Simulation!$F$22-VLOOKUP(Simulation!$C$27,'Comparatif fiscal'!$B$8:$E$17,4,FALSE)-C161)*(B161=Simulation!$F$24*12)</f>
        <v>0</v>
      </c>
      <c r="J161" s="114">
        <f>(Simulation!$C$21+Simulation!$C$22)/12*(1+Simulation!$F$17)^INT((B161-1)/12)*(B161&lt;=Simulation!$F$24*12)</f>
        <v>0</v>
      </c>
      <c r="K161" s="114">
        <f>(H161*Simulation!$C$24+Simulation!$C$23/12*(1+Simulation!$F$15)^INT((B161-1)/12))*(B161&lt;=Simulation!$F$24*12)</f>
        <v>0</v>
      </c>
      <c r="L161" s="114">
        <f>Simulation!$C$19/12*(1+Simulation!$F$18)^INT((B161-1)/12)*(B161&lt;=Simulation!$F$24*12)</f>
        <v>0</v>
      </c>
      <c r="M161" s="114">
        <f>(Simulation!$C$20/12*(1+Simulation!$F$19)^INT((B161-1)/12)+F161)*(B161&lt;=Simulation!$F$24*12)</f>
        <v>0</v>
      </c>
      <c r="N161" s="114">
        <f ca="1">SUMIF('Détail fiscalité'!$B$8:$B$37,INT(B161/12),'Détail fiscalité'!$CI$8:$CI$37)/12+SUMIF('Détail fiscalité'!$B$8:$B$37,B161/12,'Détail fiscalité'!$CI$8:$CI$37)-SUMIF('Détail fiscalité'!$B$8:$B$37,B161/12-1,'Détail fiscalité'!$CI$8:$CI$37)</f>
        <v>0</v>
      </c>
      <c r="O161" s="116">
        <f t="shared" ca="1" si="20"/>
        <v>0</v>
      </c>
    </row>
    <row r="162" spans="2:15" x14ac:dyDescent="0.15">
      <c r="B162" s="40">
        <f t="shared" si="19"/>
        <v>155</v>
      </c>
      <c r="C162" s="113">
        <f>IF(B162&lt;=MIN(Simulation!$F$10*12+Simulation!$F$12*OR(Simulation!$F$11="Amortissable différé partiel",Simulation!$F$11="Amortissable différé total"),Simulation!$F$24*12),IF(AND(B162&lt;=Simulation!$F$12,OR(Simulation!$F$11="Amortissable différé partiel",Simulation!$F$11="Amortissable différé total")),C161*(1+(Simulation!$F$11="Amortissable différé total")*Simulation!$F$8/12),C161-D162),0)</f>
        <v>0</v>
      </c>
      <c r="D162" s="114">
        <f>IF(B162&lt;=MIN(Simulation!$F$10*12+Simulation!$F$12*OR(Simulation!$F$11="Amortissable différé partiel",Simulation!$F$11="Amortissable différé total"),Simulation!$F$24*12),G162-E162,0)</f>
        <v>0</v>
      </c>
      <c r="E162" s="114">
        <f>IF(B162&lt;=MIN(Simulation!$F$10*12+Simulation!$F$12*OR(Simulation!$F$11="Amortissable différé partiel",Simulation!$F$11="Amortissable différé total"),Simulation!$F$24*12),IF(AND(B162&lt;=Simulation!$F$12,Simulation!$F$11="Amortissable différé total"),0,C161*Simulation!$F$8/12),0)</f>
        <v>0</v>
      </c>
      <c r="F162" s="114">
        <f>IF(B162&lt;=MIN(Simulation!$F$10*12+Simulation!$F$12*OR(Simulation!$F$11="Amortissable différé partiel",Simulation!$F$11="Amortissable différé total"),Simulation!$F$24*12),Simulation!$E$33*Simulation!$F$9/12,0)</f>
        <v>0</v>
      </c>
      <c r="G162" s="115">
        <f>IF(B162&lt;=MIN(Simulation!$F$10*12+Simulation!$F$12*OR(Simulation!$F$11="Amortissable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partiel",IF(B162&lt;=Simulation!$F$12,Simulation!$E$33*Simulation!$F$8/12,PMT(Simulation!$F$8/12,Simulation!$F$10*12,-Simulation!$E$34)),IF(Simulation!$F$11="Amortissable différé total",IF(B162&lt;=Simulation!$F$12,0,PMT(Simulation!$F$8/12,Simulation!$F$10*12,-Simulation!$E$34)),IF(Simulation!$F$11="In fine",IF(B162=Simulation!$F$10*12,Simulation!$E$34,Simulation!$F$8*Simulation!$E$34/12),0)))),0)</f>
        <v>0</v>
      </c>
      <c r="H162" s="113">
        <f>Simulation!$C$16/12*(1+Simulation!$F$15)^INT((B162-1)/12)*(B162&lt;=Simulation!$F$24*12)</f>
        <v>0</v>
      </c>
      <c r="I162" s="114">
        <f>(Simulation!$F$22-VLOOKUP(Simulation!$C$27,'Comparatif fiscal'!$B$8:$E$17,4,FALSE)-C162)*(B162=Simulation!$F$24*12)</f>
        <v>0</v>
      </c>
      <c r="J162" s="114">
        <f>(Simulation!$C$21+Simulation!$C$22)/12*(1+Simulation!$F$17)^INT((B162-1)/12)*(B162&lt;=Simulation!$F$24*12)</f>
        <v>0</v>
      </c>
      <c r="K162" s="114">
        <f>(H162*Simulation!$C$24+Simulation!$C$23/12*(1+Simulation!$F$15)^INT((B162-1)/12))*(B162&lt;=Simulation!$F$24*12)</f>
        <v>0</v>
      </c>
      <c r="L162" s="114">
        <f>Simulation!$C$19/12*(1+Simulation!$F$18)^INT((B162-1)/12)*(B162&lt;=Simulation!$F$24*12)</f>
        <v>0</v>
      </c>
      <c r="M162" s="114">
        <f>(Simulation!$C$20/12*(1+Simulation!$F$19)^INT((B162-1)/12)+F162)*(B162&lt;=Simulation!$F$24*12)</f>
        <v>0</v>
      </c>
      <c r="N162" s="114">
        <f ca="1">SUMIF('Détail fiscalité'!$B$8:$B$37,INT(B162/12),'Détail fiscalité'!$CI$8:$CI$37)/12+SUMIF('Détail fiscalité'!$B$8:$B$37,B162/12,'Détail fiscalité'!$CI$8:$CI$37)-SUMIF('Détail fiscalité'!$B$8:$B$37,B162/12-1,'Détail fiscalité'!$CI$8:$CI$37)</f>
        <v>0</v>
      </c>
      <c r="O162" s="116">
        <f t="shared" ca="1" si="20"/>
        <v>0</v>
      </c>
    </row>
    <row r="163" spans="2:15" x14ac:dyDescent="0.15">
      <c r="B163" s="40">
        <f t="shared" si="19"/>
        <v>156</v>
      </c>
      <c r="C163" s="113">
        <f>IF(B163&lt;=MIN(Simulation!$F$10*12+Simulation!$F$12*OR(Simulation!$F$11="Amortissable différé partiel",Simulation!$F$11="Amortissable différé total"),Simulation!$F$24*12),IF(AND(B163&lt;=Simulation!$F$12,OR(Simulation!$F$11="Amortissable différé partiel",Simulation!$F$11="Amortissable différé total")),C162*(1+(Simulation!$F$11="Amortissable différé total")*Simulation!$F$8/12),C162-D163),0)</f>
        <v>0</v>
      </c>
      <c r="D163" s="114">
        <f>IF(B163&lt;=MIN(Simulation!$F$10*12+Simulation!$F$12*OR(Simulation!$F$11="Amortissable différé partiel",Simulation!$F$11="Amortissable différé total"),Simulation!$F$24*12),G163-E163,0)</f>
        <v>0</v>
      </c>
      <c r="E163" s="114">
        <f>IF(B163&lt;=MIN(Simulation!$F$10*12+Simulation!$F$12*OR(Simulation!$F$11="Amortissable différé partiel",Simulation!$F$11="Amortissable différé total"),Simulation!$F$24*12),IF(AND(B163&lt;=Simulation!$F$12,Simulation!$F$11="Amortissable différé total"),0,C162*Simulation!$F$8/12),0)</f>
        <v>0</v>
      </c>
      <c r="F163" s="114">
        <f>IF(B163&lt;=MIN(Simulation!$F$10*12+Simulation!$F$12*OR(Simulation!$F$11="Amortissable différé partiel",Simulation!$F$11="Amortissable différé total"),Simulation!$F$24*12),Simulation!$E$33*Simulation!$F$9/12,0)</f>
        <v>0</v>
      </c>
      <c r="G163" s="115">
        <f>IF(B163&lt;=MIN(Simulation!$F$10*12+Simulation!$F$12*OR(Simulation!$F$11="Amortissable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partiel",IF(B163&lt;=Simulation!$F$12,Simulation!$E$33*Simulation!$F$8/12,PMT(Simulation!$F$8/12,Simulation!$F$10*12,-Simulation!$E$34)),IF(Simulation!$F$11="Amortissable différé total",IF(B163&lt;=Simulation!$F$12,0,PMT(Simulation!$F$8/12,Simulation!$F$10*12,-Simulation!$E$34)),IF(Simulation!$F$11="In fine",IF(B163=Simulation!$F$10*12,Simulation!$E$34,Simulation!$F$8*Simulation!$E$34/12),0)))),0)</f>
        <v>0</v>
      </c>
      <c r="H163" s="113">
        <f>Simulation!$C$16/12*(1+Simulation!$F$15)^INT((B163-1)/12)*(B163&lt;=Simulation!$F$24*12)</f>
        <v>0</v>
      </c>
      <c r="I163" s="114">
        <f>(Simulation!$F$22-VLOOKUP(Simulation!$C$27,'Comparatif fiscal'!$B$8:$E$17,4,FALSE)-C163)*(B163=Simulation!$F$24*12)</f>
        <v>0</v>
      </c>
      <c r="J163" s="114">
        <f>(Simulation!$C$21+Simulation!$C$22)/12*(1+Simulation!$F$17)^INT((B163-1)/12)*(B163&lt;=Simulation!$F$24*12)</f>
        <v>0</v>
      </c>
      <c r="K163" s="114">
        <f>(H163*Simulation!$C$24+Simulation!$C$23/12*(1+Simulation!$F$15)^INT((B163-1)/12))*(B163&lt;=Simulation!$F$24*12)</f>
        <v>0</v>
      </c>
      <c r="L163" s="114">
        <f>Simulation!$C$19/12*(1+Simulation!$F$18)^INT((B163-1)/12)*(B163&lt;=Simulation!$F$24*12)</f>
        <v>0</v>
      </c>
      <c r="M163" s="114">
        <f>(Simulation!$C$20/12*(1+Simulation!$F$19)^INT((B163-1)/12)+F163)*(B163&lt;=Simulation!$F$24*12)</f>
        <v>0</v>
      </c>
      <c r="N163" s="114">
        <f ca="1">SUMIF('Détail fiscalité'!$B$8:$B$37,INT(B163/12),'Détail fiscalité'!$CI$8:$CI$37)/12+SUMIF('Détail fiscalité'!$B$8:$B$37,B163/12,'Détail fiscalité'!$CI$8:$CI$37)-SUMIF('Détail fiscalité'!$B$8:$B$37,B163/12-1,'Détail fiscalité'!$CI$8:$CI$37)</f>
        <v>0</v>
      </c>
      <c r="O163" s="116">
        <f t="shared" ca="1" si="20"/>
        <v>0</v>
      </c>
    </row>
    <row r="164" spans="2:15" x14ac:dyDescent="0.15">
      <c r="B164" s="40">
        <f t="shared" si="19"/>
        <v>157</v>
      </c>
      <c r="C164" s="113">
        <f>IF(B164&lt;=MIN(Simulation!$F$10*12+Simulation!$F$12*OR(Simulation!$F$11="Amortissable différé partiel",Simulation!$F$11="Amortissable différé total"),Simulation!$F$24*12),IF(AND(B164&lt;=Simulation!$F$12,OR(Simulation!$F$11="Amortissable différé partiel",Simulation!$F$11="Amortissable différé total")),C163*(1+(Simulation!$F$11="Amortissable différé total")*Simulation!$F$8/12),C163-D164),0)</f>
        <v>0</v>
      </c>
      <c r="D164" s="114">
        <f>IF(B164&lt;=MIN(Simulation!$F$10*12+Simulation!$F$12*OR(Simulation!$F$11="Amortissable différé partiel",Simulation!$F$11="Amortissable différé total"),Simulation!$F$24*12),G164-E164,0)</f>
        <v>0</v>
      </c>
      <c r="E164" s="114">
        <f>IF(B164&lt;=MIN(Simulation!$F$10*12+Simulation!$F$12*OR(Simulation!$F$11="Amortissable différé partiel",Simulation!$F$11="Amortissable différé total"),Simulation!$F$24*12),IF(AND(B164&lt;=Simulation!$F$12,Simulation!$F$11="Amortissable différé total"),0,C163*Simulation!$F$8/12),0)</f>
        <v>0</v>
      </c>
      <c r="F164" s="114">
        <f>IF(B164&lt;=MIN(Simulation!$F$10*12+Simulation!$F$12*OR(Simulation!$F$11="Amortissable différé partiel",Simulation!$F$11="Amortissable différé total"),Simulation!$F$24*12),Simulation!$E$33*Simulation!$F$9/12,0)</f>
        <v>0</v>
      </c>
      <c r="G164" s="115">
        <f>IF(B164&lt;=MIN(Simulation!$F$10*12+Simulation!$F$12*OR(Simulation!$F$11="Amortissable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partiel",IF(B164&lt;=Simulation!$F$12,Simulation!$E$33*Simulation!$F$8/12,PMT(Simulation!$F$8/12,Simulation!$F$10*12,-Simulation!$E$34)),IF(Simulation!$F$11="Amortissable différé total",IF(B164&lt;=Simulation!$F$12,0,PMT(Simulation!$F$8/12,Simulation!$F$10*12,-Simulation!$E$34)),IF(Simulation!$F$11="In fine",IF(B164=Simulation!$F$10*12,Simulation!$E$34,Simulation!$F$8*Simulation!$E$34/12),0)))),0)</f>
        <v>0</v>
      </c>
      <c r="H164" s="113">
        <f>Simulation!$C$16/12*(1+Simulation!$F$15)^INT((B164-1)/12)*(B164&lt;=Simulation!$F$24*12)</f>
        <v>0</v>
      </c>
      <c r="I164" s="114">
        <f>(Simulation!$F$22-VLOOKUP(Simulation!$C$27,'Comparatif fiscal'!$B$8:$E$17,4,FALSE)-C164)*(B164=Simulation!$F$24*12)</f>
        <v>0</v>
      </c>
      <c r="J164" s="114">
        <f>(Simulation!$C$21+Simulation!$C$22)/12*(1+Simulation!$F$17)^INT((B164-1)/12)*(B164&lt;=Simulation!$F$24*12)</f>
        <v>0</v>
      </c>
      <c r="K164" s="114">
        <f>(H164*Simulation!$C$24+Simulation!$C$23/12*(1+Simulation!$F$15)^INT((B164-1)/12))*(B164&lt;=Simulation!$F$24*12)</f>
        <v>0</v>
      </c>
      <c r="L164" s="114">
        <f>Simulation!$C$19/12*(1+Simulation!$F$18)^INT((B164-1)/12)*(B164&lt;=Simulation!$F$24*12)</f>
        <v>0</v>
      </c>
      <c r="M164" s="114">
        <f>(Simulation!$C$20/12*(1+Simulation!$F$19)^INT((B164-1)/12)+F164)*(B164&lt;=Simulation!$F$24*12)</f>
        <v>0</v>
      </c>
      <c r="N164" s="114">
        <f ca="1">SUMIF('Détail fiscalité'!$B$8:$B$37,INT(B164/12),'Détail fiscalité'!$CI$8:$CI$37)/12+SUMIF('Détail fiscalité'!$B$8:$B$37,B164/12,'Détail fiscalité'!$CI$8:$CI$37)-SUMIF('Détail fiscalité'!$B$8:$B$37,B164/12-1,'Détail fiscalité'!$CI$8:$CI$37)</f>
        <v>0</v>
      </c>
      <c r="O164" s="116">
        <f t="shared" ca="1" si="20"/>
        <v>0</v>
      </c>
    </row>
    <row r="165" spans="2:15" x14ac:dyDescent="0.15">
      <c r="B165" s="40">
        <f t="shared" si="19"/>
        <v>158</v>
      </c>
      <c r="C165" s="113">
        <f>IF(B165&lt;=MIN(Simulation!$F$10*12+Simulation!$F$12*OR(Simulation!$F$11="Amortissable différé partiel",Simulation!$F$11="Amortissable différé total"),Simulation!$F$24*12),IF(AND(B165&lt;=Simulation!$F$12,OR(Simulation!$F$11="Amortissable différé partiel",Simulation!$F$11="Amortissable différé total")),C164*(1+(Simulation!$F$11="Amortissable différé total")*Simulation!$F$8/12),C164-D165),0)</f>
        <v>0</v>
      </c>
      <c r="D165" s="114">
        <f>IF(B165&lt;=MIN(Simulation!$F$10*12+Simulation!$F$12*OR(Simulation!$F$11="Amortissable différé partiel",Simulation!$F$11="Amortissable différé total"),Simulation!$F$24*12),G165-E165,0)</f>
        <v>0</v>
      </c>
      <c r="E165" s="114">
        <f>IF(B165&lt;=MIN(Simulation!$F$10*12+Simulation!$F$12*OR(Simulation!$F$11="Amortissable différé partiel",Simulation!$F$11="Amortissable différé total"),Simulation!$F$24*12),IF(AND(B165&lt;=Simulation!$F$12,Simulation!$F$11="Amortissable différé total"),0,C164*Simulation!$F$8/12),0)</f>
        <v>0</v>
      </c>
      <c r="F165" s="114">
        <f>IF(B165&lt;=MIN(Simulation!$F$10*12+Simulation!$F$12*OR(Simulation!$F$11="Amortissable différé partiel",Simulation!$F$11="Amortissable différé total"),Simulation!$F$24*12),Simulation!$E$33*Simulation!$F$9/12,0)</f>
        <v>0</v>
      </c>
      <c r="G165" s="115">
        <f>IF(B165&lt;=MIN(Simulation!$F$10*12+Simulation!$F$12*OR(Simulation!$F$11="Amortissable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partiel",IF(B165&lt;=Simulation!$F$12,Simulation!$E$33*Simulation!$F$8/12,PMT(Simulation!$F$8/12,Simulation!$F$10*12,-Simulation!$E$34)),IF(Simulation!$F$11="Amortissable différé total",IF(B165&lt;=Simulation!$F$12,0,PMT(Simulation!$F$8/12,Simulation!$F$10*12,-Simulation!$E$34)),IF(Simulation!$F$11="In fine",IF(B165=Simulation!$F$10*12,Simulation!$E$34,Simulation!$F$8*Simulation!$E$34/12),0)))),0)</f>
        <v>0</v>
      </c>
      <c r="H165" s="113">
        <f>Simulation!$C$16/12*(1+Simulation!$F$15)^INT((B165-1)/12)*(B165&lt;=Simulation!$F$24*12)</f>
        <v>0</v>
      </c>
      <c r="I165" s="114">
        <f>(Simulation!$F$22-VLOOKUP(Simulation!$C$27,'Comparatif fiscal'!$B$8:$E$17,4,FALSE)-C165)*(B165=Simulation!$F$24*12)</f>
        <v>0</v>
      </c>
      <c r="J165" s="114">
        <f>(Simulation!$C$21+Simulation!$C$22)/12*(1+Simulation!$F$17)^INT((B165-1)/12)*(B165&lt;=Simulation!$F$24*12)</f>
        <v>0</v>
      </c>
      <c r="K165" s="114">
        <f>(H165*Simulation!$C$24+Simulation!$C$23/12*(1+Simulation!$F$15)^INT((B165-1)/12))*(B165&lt;=Simulation!$F$24*12)</f>
        <v>0</v>
      </c>
      <c r="L165" s="114">
        <f>Simulation!$C$19/12*(1+Simulation!$F$18)^INT((B165-1)/12)*(B165&lt;=Simulation!$F$24*12)</f>
        <v>0</v>
      </c>
      <c r="M165" s="114">
        <f>(Simulation!$C$20/12*(1+Simulation!$F$19)^INT((B165-1)/12)+F165)*(B165&lt;=Simulation!$F$24*12)</f>
        <v>0</v>
      </c>
      <c r="N165" s="114">
        <f ca="1">SUMIF('Détail fiscalité'!$B$8:$B$37,INT(B165/12),'Détail fiscalité'!$CI$8:$CI$37)/12+SUMIF('Détail fiscalité'!$B$8:$B$37,B165/12,'Détail fiscalité'!$CI$8:$CI$37)-SUMIF('Détail fiscalité'!$B$8:$B$37,B165/12-1,'Détail fiscalité'!$CI$8:$CI$37)</f>
        <v>0</v>
      </c>
      <c r="O165" s="116">
        <f t="shared" ca="1" si="20"/>
        <v>0</v>
      </c>
    </row>
    <row r="166" spans="2:15" x14ac:dyDescent="0.15">
      <c r="B166" s="40">
        <f t="shared" si="19"/>
        <v>159</v>
      </c>
      <c r="C166" s="113">
        <f>IF(B166&lt;=MIN(Simulation!$F$10*12+Simulation!$F$12*OR(Simulation!$F$11="Amortissable différé partiel",Simulation!$F$11="Amortissable différé total"),Simulation!$F$24*12),IF(AND(B166&lt;=Simulation!$F$12,OR(Simulation!$F$11="Amortissable différé partiel",Simulation!$F$11="Amortissable différé total")),C165*(1+(Simulation!$F$11="Amortissable différé total")*Simulation!$F$8/12),C165-D166),0)</f>
        <v>0</v>
      </c>
      <c r="D166" s="114">
        <f>IF(B166&lt;=MIN(Simulation!$F$10*12+Simulation!$F$12*OR(Simulation!$F$11="Amortissable différé partiel",Simulation!$F$11="Amortissable différé total"),Simulation!$F$24*12),G166-E166,0)</f>
        <v>0</v>
      </c>
      <c r="E166" s="114">
        <f>IF(B166&lt;=MIN(Simulation!$F$10*12+Simulation!$F$12*OR(Simulation!$F$11="Amortissable différé partiel",Simulation!$F$11="Amortissable différé total"),Simulation!$F$24*12),IF(AND(B166&lt;=Simulation!$F$12,Simulation!$F$11="Amortissable différé total"),0,C165*Simulation!$F$8/12),0)</f>
        <v>0</v>
      </c>
      <c r="F166" s="114">
        <f>IF(B166&lt;=MIN(Simulation!$F$10*12+Simulation!$F$12*OR(Simulation!$F$11="Amortissable différé partiel",Simulation!$F$11="Amortissable différé total"),Simulation!$F$24*12),Simulation!$E$33*Simulation!$F$9/12,0)</f>
        <v>0</v>
      </c>
      <c r="G166" s="115">
        <f>IF(B166&lt;=MIN(Simulation!$F$10*12+Simulation!$F$12*OR(Simulation!$F$11="Amortissable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partiel",IF(B166&lt;=Simulation!$F$12,Simulation!$E$33*Simulation!$F$8/12,PMT(Simulation!$F$8/12,Simulation!$F$10*12,-Simulation!$E$34)),IF(Simulation!$F$11="Amortissable différé total",IF(B166&lt;=Simulation!$F$12,0,PMT(Simulation!$F$8/12,Simulation!$F$10*12,-Simulation!$E$34)),IF(Simulation!$F$11="In fine",IF(B166=Simulation!$F$10*12,Simulation!$E$34,Simulation!$F$8*Simulation!$E$34/12),0)))),0)</f>
        <v>0</v>
      </c>
      <c r="H166" s="113">
        <f>Simulation!$C$16/12*(1+Simulation!$F$15)^INT((B166-1)/12)*(B166&lt;=Simulation!$F$24*12)</f>
        <v>0</v>
      </c>
      <c r="I166" s="114">
        <f>(Simulation!$F$22-VLOOKUP(Simulation!$C$27,'Comparatif fiscal'!$B$8:$E$17,4,FALSE)-C166)*(B166=Simulation!$F$24*12)</f>
        <v>0</v>
      </c>
      <c r="J166" s="114">
        <f>(Simulation!$C$21+Simulation!$C$22)/12*(1+Simulation!$F$17)^INT((B166-1)/12)*(B166&lt;=Simulation!$F$24*12)</f>
        <v>0</v>
      </c>
      <c r="K166" s="114">
        <f>(H166*Simulation!$C$24+Simulation!$C$23/12*(1+Simulation!$F$15)^INT((B166-1)/12))*(B166&lt;=Simulation!$F$24*12)</f>
        <v>0</v>
      </c>
      <c r="L166" s="114">
        <f>Simulation!$C$19/12*(1+Simulation!$F$18)^INT((B166-1)/12)*(B166&lt;=Simulation!$F$24*12)</f>
        <v>0</v>
      </c>
      <c r="M166" s="114">
        <f>(Simulation!$C$20/12*(1+Simulation!$F$19)^INT((B166-1)/12)+F166)*(B166&lt;=Simulation!$F$24*12)</f>
        <v>0</v>
      </c>
      <c r="N166" s="114">
        <f ca="1">SUMIF('Détail fiscalité'!$B$8:$B$37,INT(B166/12),'Détail fiscalité'!$CI$8:$CI$37)/12+SUMIF('Détail fiscalité'!$B$8:$B$37,B166/12,'Détail fiscalité'!$CI$8:$CI$37)-SUMIF('Détail fiscalité'!$B$8:$B$37,B166/12-1,'Détail fiscalité'!$CI$8:$CI$37)</f>
        <v>0</v>
      </c>
      <c r="O166" s="116">
        <f t="shared" ca="1" si="20"/>
        <v>0</v>
      </c>
    </row>
    <row r="167" spans="2:15" x14ac:dyDescent="0.15">
      <c r="B167" s="40">
        <f t="shared" si="19"/>
        <v>160</v>
      </c>
      <c r="C167" s="113">
        <f>IF(B167&lt;=MIN(Simulation!$F$10*12+Simulation!$F$12*OR(Simulation!$F$11="Amortissable différé partiel",Simulation!$F$11="Amortissable différé total"),Simulation!$F$24*12),IF(AND(B167&lt;=Simulation!$F$12,OR(Simulation!$F$11="Amortissable différé partiel",Simulation!$F$11="Amortissable différé total")),C166*(1+(Simulation!$F$11="Amortissable différé total")*Simulation!$F$8/12),C166-D167),0)</f>
        <v>0</v>
      </c>
      <c r="D167" s="114">
        <f>IF(B167&lt;=MIN(Simulation!$F$10*12+Simulation!$F$12*OR(Simulation!$F$11="Amortissable différé partiel",Simulation!$F$11="Amortissable différé total"),Simulation!$F$24*12),G167-E167,0)</f>
        <v>0</v>
      </c>
      <c r="E167" s="114">
        <f>IF(B167&lt;=MIN(Simulation!$F$10*12+Simulation!$F$12*OR(Simulation!$F$11="Amortissable différé partiel",Simulation!$F$11="Amortissable différé total"),Simulation!$F$24*12),IF(AND(B167&lt;=Simulation!$F$12,Simulation!$F$11="Amortissable différé total"),0,C166*Simulation!$F$8/12),0)</f>
        <v>0</v>
      </c>
      <c r="F167" s="114">
        <f>IF(B167&lt;=MIN(Simulation!$F$10*12+Simulation!$F$12*OR(Simulation!$F$11="Amortissable différé partiel",Simulation!$F$11="Amortissable différé total"),Simulation!$F$24*12),Simulation!$E$33*Simulation!$F$9/12,0)</f>
        <v>0</v>
      </c>
      <c r="G167" s="115">
        <f>IF(B167&lt;=MIN(Simulation!$F$10*12+Simulation!$F$12*OR(Simulation!$F$11="Amortissable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partiel",IF(B167&lt;=Simulation!$F$12,Simulation!$E$33*Simulation!$F$8/12,PMT(Simulation!$F$8/12,Simulation!$F$10*12,-Simulation!$E$34)),IF(Simulation!$F$11="Amortissable différé total",IF(B167&lt;=Simulation!$F$12,0,PMT(Simulation!$F$8/12,Simulation!$F$10*12,-Simulation!$E$34)),IF(Simulation!$F$11="In fine",IF(B167=Simulation!$F$10*12,Simulation!$E$34,Simulation!$F$8*Simulation!$E$34/12),0)))),0)</f>
        <v>0</v>
      </c>
      <c r="H167" s="113">
        <f>Simulation!$C$16/12*(1+Simulation!$F$15)^INT((B167-1)/12)*(B167&lt;=Simulation!$F$24*12)</f>
        <v>0</v>
      </c>
      <c r="I167" s="114">
        <f>(Simulation!$F$22-VLOOKUP(Simulation!$C$27,'Comparatif fiscal'!$B$8:$E$17,4,FALSE)-C167)*(B167=Simulation!$F$24*12)</f>
        <v>0</v>
      </c>
      <c r="J167" s="114">
        <f>(Simulation!$C$21+Simulation!$C$22)/12*(1+Simulation!$F$17)^INT((B167-1)/12)*(B167&lt;=Simulation!$F$24*12)</f>
        <v>0</v>
      </c>
      <c r="K167" s="114">
        <f>(H167*Simulation!$C$24+Simulation!$C$23/12*(1+Simulation!$F$15)^INT((B167-1)/12))*(B167&lt;=Simulation!$F$24*12)</f>
        <v>0</v>
      </c>
      <c r="L167" s="114">
        <f>Simulation!$C$19/12*(1+Simulation!$F$18)^INT((B167-1)/12)*(B167&lt;=Simulation!$F$24*12)</f>
        <v>0</v>
      </c>
      <c r="M167" s="114">
        <f>(Simulation!$C$20/12*(1+Simulation!$F$19)^INT((B167-1)/12)+F167)*(B167&lt;=Simulation!$F$24*12)</f>
        <v>0</v>
      </c>
      <c r="N167" s="114">
        <f ca="1">SUMIF('Détail fiscalité'!$B$8:$B$37,INT(B167/12),'Détail fiscalité'!$CI$8:$CI$37)/12+SUMIF('Détail fiscalité'!$B$8:$B$37,B167/12,'Détail fiscalité'!$CI$8:$CI$37)-SUMIF('Détail fiscalité'!$B$8:$B$37,B167/12-1,'Détail fiscalité'!$CI$8:$CI$37)</f>
        <v>0</v>
      </c>
      <c r="O167" s="116">
        <f t="shared" ca="1" si="20"/>
        <v>0</v>
      </c>
    </row>
    <row r="168" spans="2:15" x14ac:dyDescent="0.15">
      <c r="B168" s="40">
        <f t="shared" si="19"/>
        <v>161</v>
      </c>
      <c r="C168" s="113">
        <f>IF(B168&lt;=MIN(Simulation!$F$10*12+Simulation!$F$12*OR(Simulation!$F$11="Amortissable différé partiel",Simulation!$F$11="Amortissable différé total"),Simulation!$F$24*12),IF(AND(B168&lt;=Simulation!$F$12,OR(Simulation!$F$11="Amortissable différé partiel",Simulation!$F$11="Amortissable différé total")),C167*(1+(Simulation!$F$11="Amortissable différé total")*Simulation!$F$8/12),C167-D168),0)</f>
        <v>0</v>
      </c>
      <c r="D168" s="114">
        <f>IF(B168&lt;=MIN(Simulation!$F$10*12+Simulation!$F$12*OR(Simulation!$F$11="Amortissable différé partiel",Simulation!$F$11="Amortissable différé total"),Simulation!$F$24*12),G168-E168,0)</f>
        <v>0</v>
      </c>
      <c r="E168" s="114">
        <f>IF(B168&lt;=MIN(Simulation!$F$10*12+Simulation!$F$12*OR(Simulation!$F$11="Amortissable différé partiel",Simulation!$F$11="Amortissable différé total"),Simulation!$F$24*12),IF(AND(B168&lt;=Simulation!$F$12,Simulation!$F$11="Amortissable différé total"),0,C167*Simulation!$F$8/12),0)</f>
        <v>0</v>
      </c>
      <c r="F168" s="114">
        <f>IF(B168&lt;=MIN(Simulation!$F$10*12+Simulation!$F$12*OR(Simulation!$F$11="Amortissable différé partiel",Simulation!$F$11="Amortissable différé total"),Simulation!$F$24*12),Simulation!$E$33*Simulation!$F$9/12,0)</f>
        <v>0</v>
      </c>
      <c r="G168" s="115">
        <f>IF(B168&lt;=MIN(Simulation!$F$10*12+Simulation!$F$12*OR(Simulation!$F$11="Amortissable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partiel",IF(B168&lt;=Simulation!$F$12,Simulation!$E$33*Simulation!$F$8/12,PMT(Simulation!$F$8/12,Simulation!$F$10*12,-Simulation!$E$34)),IF(Simulation!$F$11="Amortissable différé total",IF(B168&lt;=Simulation!$F$12,0,PMT(Simulation!$F$8/12,Simulation!$F$10*12,-Simulation!$E$34)),IF(Simulation!$F$11="In fine",IF(B168=Simulation!$F$10*12,Simulation!$E$34,Simulation!$F$8*Simulation!$E$34/12),0)))),0)</f>
        <v>0</v>
      </c>
      <c r="H168" s="113">
        <f>Simulation!$C$16/12*(1+Simulation!$F$15)^INT((B168-1)/12)*(B168&lt;=Simulation!$F$24*12)</f>
        <v>0</v>
      </c>
      <c r="I168" s="114">
        <f>(Simulation!$F$22-VLOOKUP(Simulation!$C$27,'Comparatif fiscal'!$B$8:$E$17,4,FALSE)-C168)*(B168=Simulation!$F$24*12)</f>
        <v>0</v>
      </c>
      <c r="J168" s="114">
        <f>(Simulation!$C$21+Simulation!$C$22)/12*(1+Simulation!$F$17)^INT((B168-1)/12)*(B168&lt;=Simulation!$F$24*12)</f>
        <v>0</v>
      </c>
      <c r="K168" s="114">
        <f>(H168*Simulation!$C$24+Simulation!$C$23/12*(1+Simulation!$F$15)^INT((B168-1)/12))*(B168&lt;=Simulation!$F$24*12)</f>
        <v>0</v>
      </c>
      <c r="L168" s="114">
        <f>Simulation!$C$19/12*(1+Simulation!$F$18)^INT((B168-1)/12)*(B168&lt;=Simulation!$F$24*12)</f>
        <v>0</v>
      </c>
      <c r="M168" s="114">
        <f>(Simulation!$C$20/12*(1+Simulation!$F$19)^INT((B168-1)/12)+F168)*(B168&lt;=Simulation!$F$24*12)</f>
        <v>0</v>
      </c>
      <c r="N168" s="114">
        <f ca="1">SUMIF('Détail fiscalité'!$B$8:$B$37,INT(B168/12),'Détail fiscalité'!$CI$8:$CI$37)/12+SUMIF('Détail fiscalité'!$B$8:$B$37,B168/12,'Détail fiscalité'!$CI$8:$CI$37)-SUMIF('Détail fiscalité'!$B$8:$B$37,B168/12-1,'Détail fiscalité'!$CI$8:$CI$37)</f>
        <v>0</v>
      </c>
      <c r="O168" s="116">
        <f t="shared" ca="1" si="20"/>
        <v>0</v>
      </c>
    </row>
    <row r="169" spans="2:15" x14ac:dyDescent="0.15">
      <c r="B169" s="40">
        <f t="shared" si="19"/>
        <v>162</v>
      </c>
      <c r="C169" s="113">
        <f>IF(B169&lt;=MIN(Simulation!$F$10*12+Simulation!$F$12*OR(Simulation!$F$11="Amortissable différé partiel",Simulation!$F$11="Amortissable différé total"),Simulation!$F$24*12),IF(AND(B169&lt;=Simulation!$F$12,OR(Simulation!$F$11="Amortissable différé partiel",Simulation!$F$11="Amortissable différé total")),C168*(1+(Simulation!$F$11="Amortissable différé total")*Simulation!$F$8/12),C168-D169),0)</f>
        <v>0</v>
      </c>
      <c r="D169" s="114">
        <f>IF(B169&lt;=MIN(Simulation!$F$10*12+Simulation!$F$12*OR(Simulation!$F$11="Amortissable différé partiel",Simulation!$F$11="Amortissable différé total"),Simulation!$F$24*12),G169-E169,0)</f>
        <v>0</v>
      </c>
      <c r="E169" s="114">
        <f>IF(B169&lt;=MIN(Simulation!$F$10*12+Simulation!$F$12*OR(Simulation!$F$11="Amortissable différé partiel",Simulation!$F$11="Amortissable différé total"),Simulation!$F$24*12),IF(AND(B169&lt;=Simulation!$F$12,Simulation!$F$11="Amortissable différé total"),0,C168*Simulation!$F$8/12),0)</f>
        <v>0</v>
      </c>
      <c r="F169" s="114">
        <f>IF(B169&lt;=MIN(Simulation!$F$10*12+Simulation!$F$12*OR(Simulation!$F$11="Amortissable différé partiel",Simulation!$F$11="Amortissable différé total"),Simulation!$F$24*12),Simulation!$E$33*Simulation!$F$9/12,0)</f>
        <v>0</v>
      </c>
      <c r="G169" s="115">
        <f>IF(B169&lt;=MIN(Simulation!$F$10*12+Simulation!$F$12*OR(Simulation!$F$11="Amortissable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partiel",IF(B169&lt;=Simulation!$F$12,Simulation!$E$33*Simulation!$F$8/12,PMT(Simulation!$F$8/12,Simulation!$F$10*12,-Simulation!$E$34)),IF(Simulation!$F$11="Amortissable différé total",IF(B169&lt;=Simulation!$F$12,0,PMT(Simulation!$F$8/12,Simulation!$F$10*12,-Simulation!$E$34)),IF(Simulation!$F$11="In fine",IF(B169=Simulation!$F$10*12,Simulation!$E$34,Simulation!$F$8*Simulation!$E$34/12),0)))),0)</f>
        <v>0</v>
      </c>
      <c r="H169" s="113">
        <f>Simulation!$C$16/12*(1+Simulation!$F$15)^INT((B169-1)/12)*(B169&lt;=Simulation!$F$24*12)</f>
        <v>0</v>
      </c>
      <c r="I169" s="114">
        <f>(Simulation!$F$22-VLOOKUP(Simulation!$C$27,'Comparatif fiscal'!$B$8:$E$17,4,FALSE)-C169)*(B169=Simulation!$F$24*12)</f>
        <v>0</v>
      </c>
      <c r="J169" s="114">
        <f>(Simulation!$C$21+Simulation!$C$22)/12*(1+Simulation!$F$17)^INT((B169-1)/12)*(B169&lt;=Simulation!$F$24*12)</f>
        <v>0</v>
      </c>
      <c r="K169" s="114">
        <f>(H169*Simulation!$C$24+Simulation!$C$23/12*(1+Simulation!$F$15)^INT((B169-1)/12))*(B169&lt;=Simulation!$F$24*12)</f>
        <v>0</v>
      </c>
      <c r="L169" s="114">
        <f>Simulation!$C$19/12*(1+Simulation!$F$18)^INT((B169-1)/12)*(B169&lt;=Simulation!$F$24*12)</f>
        <v>0</v>
      </c>
      <c r="M169" s="114">
        <f>(Simulation!$C$20/12*(1+Simulation!$F$19)^INT((B169-1)/12)+F169)*(B169&lt;=Simulation!$F$24*12)</f>
        <v>0</v>
      </c>
      <c r="N169" s="114">
        <f ca="1">SUMIF('Détail fiscalité'!$B$8:$B$37,INT(B169/12),'Détail fiscalité'!$CI$8:$CI$37)/12+SUMIF('Détail fiscalité'!$B$8:$B$37,B169/12,'Détail fiscalité'!$CI$8:$CI$37)-SUMIF('Détail fiscalité'!$B$8:$B$37,B169/12-1,'Détail fiscalité'!$CI$8:$CI$37)</f>
        <v>0</v>
      </c>
      <c r="O169" s="116">
        <f t="shared" ca="1" si="20"/>
        <v>0</v>
      </c>
    </row>
    <row r="170" spans="2:15" x14ac:dyDescent="0.15">
      <c r="B170" s="40">
        <f t="shared" si="19"/>
        <v>163</v>
      </c>
      <c r="C170" s="113">
        <f>IF(B170&lt;=MIN(Simulation!$F$10*12+Simulation!$F$12*OR(Simulation!$F$11="Amortissable différé partiel",Simulation!$F$11="Amortissable différé total"),Simulation!$F$24*12),IF(AND(B170&lt;=Simulation!$F$12,OR(Simulation!$F$11="Amortissable différé partiel",Simulation!$F$11="Amortissable différé total")),C169*(1+(Simulation!$F$11="Amortissable différé total")*Simulation!$F$8/12),C169-D170),0)</f>
        <v>0</v>
      </c>
      <c r="D170" s="114">
        <f>IF(B170&lt;=MIN(Simulation!$F$10*12+Simulation!$F$12*OR(Simulation!$F$11="Amortissable différé partiel",Simulation!$F$11="Amortissable différé total"),Simulation!$F$24*12),G170-E170,0)</f>
        <v>0</v>
      </c>
      <c r="E170" s="114">
        <f>IF(B170&lt;=MIN(Simulation!$F$10*12+Simulation!$F$12*OR(Simulation!$F$11="Amortissable différé partiel",Simulation!$F$11="Amortissable différé total"),Simulation!$F$24*12),IF(AND(B170&lt;=Simulation!$F$12,Simulation!$F$11="Amortissable différé total"),0,C169*Simulation!$F$8/12),0)</f>
        <v>0</v>
      </c>
      <c r="F170" s="114">
        <f>IF(B170&lt;=MIN(Simulation!$F$10*12+Simulation!$F$12*OR(Simulation!$F$11="Amortissable différé partiel",Simulation!$F$11="Amortissable différé total"),Simulation!$F$24*12),Simulation!$E$33*Simulation!$F$9/12,0)</f>
        <v>0</v>
      </c>
      <c r="G170" s="115">
        <f>IF(B170&lt;=MIN(Simulation!$F$10*12+Simulation!$F$12*OR(Simulation!$F$11="Amortissable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partiel",IF(B170&lt;=Simulation!$F$12,Simulation!$E$33*Simulation!$F$8/12,PMT(Simulation!$F$8/12,Simulation!$F$10*12,-Simulation!$E$34)),IF(Simulation!$F$11="Amortissable différé total",IF(B170&lt;=Simulation!$F$12,0,PMT(Simulation!$F$8/12,Simulation!$F$10*12,-Simulation!$E$34)),IF(Simulation!$F$11="In fine",IF(B170=Simulation!$F$10*12,Simulation!$E$34,Simulation!$F$8*Simulation!$E$34/12),0)))),0)</f>
        <v>0</v>
      </c>
      <c r="H170" s="113">
        <f>Simulation!$C$16/12*(1+Simulation!$F$15)^INT((B170-1)/12)*(B170&lt;=Simulation!$F$24*12)</f>
        <v>0</v>
      </c>
      <c r="I170" s="114">
        <f>(Simulation!$F$22-VLOOKUP(Simulation!$C$27,'Comparatif fiscal'!$B$8:$E$17,4,FALSE)-C170)*(B170=Simulation!$F$24*12)</f>
        <v>0</v>
      </c>
      <c r="J170" s="114">
        <f>(Simulation!$C$21+Simulation!$C$22)/12*(1+Simulation!$F$17)^INT((B170-1)/12)*(B170&lt;=Simulation!$F$24*12)</f>
        <v>0</v>
      </c>
      <c r="K170" s="114">
        <f>(H170*Simulation!$C$24+Simulation!$C$23/12*(1+Simulation!$F$15)^INT((B170-1)/12))*(B170&lt;=Simulation!$F$24*12)</f>
        <v>0</v>
      </c>
      <c r="L170" s="114">
        <f>Simulation!$C$19/12*(1+Simulation!$F$18)^INT((B170-1)/12)*(B170&lt;=Simulation!$F$24*12)</f>
        <v>0</v>
      </c>
      <c r="M170" s="114">
        <f>(Simulation!$C$20/12*(1+Simulation!$F$19)^INT((B170-1)/12)+F170)*(B170&lt;=Simulation!$F$24*12)</f>
        <v>0</v>
      </c>
      <c r="N170" s="114">
        <f ca="1">SUMIF('Détail fiscalité'!$B$8:$B$37,INT(B170/12),'Détail fiscalité'!$CI$8:$CI$37)/12+SUMIF('Détail fiscalité'!$B$8:$B$37,B170/12,'Détail fiscalité'!$CI$8:$CI$37)-SUMIF('Détail fiscalité'!$B$8:$B$37,B170/12-1,'Détail fiscalité'!$CI$8:$CI$37)</f>
        <v>0</v>
      </c>
      <c r="O170" s="116">
        <f t="shared" ca="1" si="20"/>
        <v>0</v>
      </c>
    </row>
    <row r="171" spans="2:15" x14ac:dyDescent="0.15">
      <c r="B171" s="40">
        <f t="shared" si="19"/>
        <v>164</v>
      </c>
      <c r="C171" s="113">
        <f>IF(B171&lt;=MIN(Simulation!$F$10*12+Simulation!$F$12*OR(Simulation!$F$11="Amortissable différé partiel",Simulation!$F$11="Amortissable différé total"),Simulation!$F$24*12),IF(AND(B171&lt;=Simulation!$F$12,OR(Simulation!$F$11="Amortissable différé partiel",Simulation!$F$11="Amortissable différé total")),C170*(1+(Simulation!$F$11="Amortissable différé total")*Simulation!$F$8/12),C170-D171),0)</f>
        <v>0</v>
      </c>
      <c r="D171" s="114">
        <f>IF(B171&lt;=MIN(Simulation!$F$10*12+Simulation!$F$12*OR(Simulation!$F$11="Amortissable différé partiel",Simulation!$F$11="Amortissable différé total"),Simulation!$F$24*12),G171-E171,0)</f>
        <v>0</v>
      </c>
      <c r="E171" s="114">
        <f>IF(B171&lt;=MIN(Simulation!$F$10*12+Simulation!$F$12*OR(Simulation!$F$11="Amortissable différé partiel",Simulation!$F$11="Amortissable différé total"),Simulation!$F$24*12),IF(AND(B171&lt;=Simulation!$F$12,Simulation!$F$11="Amortissable différé total"),0,C170*Simulation!$F$8/12),0)</f>
        <v>0</v>
      </c>
      <c r="F171" s="114">
        <f>IF(B171&lt;=MIN(Simulation!$F$10*12+Simulation!$F$12*OR(Simulation!$F$11="Amortissable différé partiel",Simulation!$F$11="Amortissable différé total"),Simulation!$F$24*12),Simulation!$E$33*Simulation!$F$9/12,0)</f>
        <v>0</v>
      </c>
      <c r="G171" s="115">
        <f>IF(B171&lt;=MIN(Simulation!$F$10*12+Simulation!$F$12*OR(Simulation!$F$11="Amortissable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partiel",IF(B171&lt;=Simulation!$F$12,Simulation!$E$33*Simulation!$F$8/12,PMT(Simulation!$F$8/12,Simulation!$F$10*12,-Simulation!$E$34)),IF(Simulation!$F$11="Amortissable différé total",IF(B171&lt;=Simulation!$F$12,0,PMT(Simulation!$F$8/12,Simulation!$F$10*12,-Simulation!$E$34)),IF(Simulation!$F$11="In fine",IF(B171=Simulation!$F$10*12,Simulation!$E$34,Simulation!$F$8*Simulation!$E$34/12),0)))),0)</f>
        <v>0</v>
      </c>
      <c r="H171" s="113">
        <f>Simulation!$C$16/12*(1+Simulation!$F$15)^INT((B171-1)/12)*(B171&lt;=Simulation!$F$24*12)</f>
        <v>0</v>
      </c>
      <c r="I171" s="114">
        <f>(Simulation!$F$22-VLOOKUP(Simulation!$C$27,'Comparatif fiscal'!$B$8:$E$17,4,FALSE)-C171)*(B171=Simulation!$F$24*12)</f>
        <v>0</v>
      </c>
      <c r="J171" s="114">
        <f>(Simulation!$C$21+Simulation!$C$22)/12*(1+Simulation!$F$17)^INT((B171-1)/12)*(B171&lt;=Simulation!$F$24*12)</f>
        <v>0</v>
      </c>
      <c r="K171" s="114">
        <f>(H171*Simulation!$C$24+Simulation!$C$23/12*(1+Simulation!$F$15)^INT((B171-1)/12))*(B171&lt;=Simulation!$F$24*12)</f>
        <v>0</v>
      </c>
      <c r="L171" s="114">
        <f>Simulation!$C$19/12*(1+Simulation!$F$18)^INT((B171-1)/12)*(B171&lt;=Simulation!$F$24*12)</f>
        <v>0</v>
      </c>
      <c r="M171" s="114">
        <f>(Simulation!$C$20/12*(1+Simulation!$F$19)^INT((B171-1)/12)+F171)*(B171&lt;=Simulation!$F$24*12)</f>
        <v>0</v>
      </c>
      <c r="N171" s="114">
        <f ca="1">SUMIF('Détail fiscalité'!$B$8:$B$37,INT(B171/12),'Détail fiscalité'!$CI$8:$CI$37)/12+SUMIF('Détail fiscalité'!$B$8:$B$37,B171/12,'Détail fiscalité'!$CI$8:$CI$37)-SUMIF('Détail fiscalité'!$B$8:$B$37,B171/12-1,'Détail fiscalité'!$CI$8:$CI$37)</f>
        <v>0</v>
      </c>
      <c r="O171" s="116">
        <f t="shared" ca="1" si="20"/>
        <v>0</v>
      </c>
    </row>
    <row r="172" spans="2:15" x14ac:dyDescent="0.15">
      <c r="B172" s="40">
        <f t="shared" si="19"/>
        <v>165</v>
      </c>
      <c r="C172" s="113">
        <f>IF(B172&lt;=MIN(Simulation!$F$10*12+Simulation!$F$12*OR(Simulation!$F$11="Amortissable différé partiel",Simulation!$F$11="Amortissable différé total"),Simulation!$F$24*12),IF(AND(B172&lt;=Simulation!$F$12,OR(Simulation!$F$11="Amortissable différé partiel",Simulation!$F$11="Amortissable différé total")),C171*(1+(Simulation!$F$11="Amortissable différé total")*Simulation!$F$8/12),C171-D172),0)</f>
        <v>0</v>
      </c>
      <c r="D172" s="114">
        <f>IF(B172&lt;=MIN(Simulation!$F$10*12+Simulation!$F$12*OR(Simulation!$F$11="Amortissable différé partiel",Simulation!$F$11="Amortissable différé total"),Simulation!$F$24*12),G172-E172,0)</f>
        <v>0</v>
      </c>
      <c r="E172" s="114">
        <f>IF(B172&lt;=MIN(Simulation!$F$10*12+Simulation!$F$12*OR(Simulation!$F$11="Amortissable différé partiel",Simulation!$F$11="Amortissable différé total"),Simulation!$F$24*12),IF(AND(B172&lt;=Simulation!$F$12,Simulation!$F$11="Amortissable différé total"),0,C171*Simulation!$F$8/12),0)</f>
        <v>0</v>
      </c>
      <c r="F172" s="114">
        <f>IF(B172&lt;=MIN(Simulation!$F$10*12+Simulation!$F$12*OR(Simulation!$F$11="Amortissable différé partiel",Simulation!$F$11="Amortissable différé total"),Simulation!$F$24*12),Simulation!$E$33*Simulation!$F$9/12,0)</f>
        <v>0</v>
      </c>
      <c r="G172" s="115">
        <f>IF(B172&lt;=MIN(Simulation!$F$10*12+Simulation!$F$12*OR(Simulation!$F$11="Amortissable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partiel",IF(B172&lt;=Simulation!$F$12,Simulation!$E$33*Simulation!$F$8/12,PMT(Simulation!$F$8/12,Simulation!$F$10*12,-Simulation!$E$34)),IF(Simulation!$F$11="Amortissable différé total",IF(B172&lt;=Simulation!$F$12,0,PMT(Simulation!$F$8/12,Simulation!$F$10*12,-Simulation!$E$34)),IF(Simulation!$F$11="In fine",IF(B172=Simulation!$F$10*12,Simulation!$E$34,Simulation!$F$8*Simulation!$E$34/12),0)))),0)</f>
        <v>0</v>
      </c>
      <c r="H172" s="113">
        <f>Simulation!$C$16/12*(1+Simulation!$F$15)^INT((B172-1)/12)*(B172&lt;=Simulation!$F$24*12)</f>
        <v>0</v>
      </c>
      <c r="I172" s="114">
        <f>(Simulation!$F$22-VLOOKUP(Simulation!$C$27,'Comparatif fiscal'!$B$8:$E$17,4,FALSE)-C172)*(B172=Simulation!$F$24*12)</f>
        <v>0</v>
      </c>
      <c r="J172" s="114">
        <f>(Simulation!$C$21+Simulation!$C$22)/12*(1+Simulation!$F$17)^INT((B172-1)/12)*(B172&lt;=Simulation!$F$24*12)</f>
        <v>0</v>
      </c>
      <c r="K172" s="114">
        <f>(H172*Simulation!$C$24+Simulation!$C$23/12*(1+Simulation!$F$15)^INT((B172-1)/12))*(B172&lt;=Simulation!$F$24*12)</f>
        <v>0</v>
      </c>
      <c r="L172" s="114">
        <f>Simulation!$C$19/12*(1+Simulation!$F$18)^INT((B172-1)/12)*(B172&lt;=Simulation!$F$24*12)</f>
        <v>0</v>
      </c>
      <c r="M172" s="114">
        <f>(Simulation!$C$20/12*(1+Simulation!$F$19)^INT((B172-1)/12)+F172)*(B172&lt;=Simulation!$F$24*12)</f>
        <v>0</v>
      </c>
      <c r="N172" s="114">
        <f ca="1">SUMIF('Détail fiscalité'!$B$8:$B$37,INT(B172/12),'Détail fiscalité'!$CI$8:$CI$37)/12+SUMIF('Détail fiscalité'!$B$8:$B$37,B172/12,'Détail fiscalité'!$CI$8:$CI$37)-SUMIF('Détail fiscalité'!$B$8:$B$37,B172/12-1,'Détail fiscalité'!$CI$8:$CI$37)</f>
        <v>0</v>
      </c>
      <c r="O172" s="116">
        <f t="shared" ca="1" si="20"/>
        <v>0</v>
      </c>
    </row>
    <row r="173" spans="2:15" x14ac:dyDescent="0.15">
      <c r="B173" s="40">
        <f t="shared" si="19"/>
        <v>166</v>
      </c>
      <c r="C173" s="113">
        <f>IF(B173&lt;=MIN(Simulation!$F$10*12+Simulation!$F$12*OR(Simulation!$F$11="Amortissable différé partiel",Simulation!$F$11="Amortissable différé total"),Simulation!$F$24*12),IF(AND(B173&lt;=Simulation!$F$12,OR(Simulation!$F$11="Amortissable différé partiel",Simulation!$F$11="Amortissable différé total")),C172*(1+(Simulation!$F$11="Amortissable différé total")*Simulation!$F$8/12),C172-D173),0)</f>
        <v>0</v>
      </c>
      <c r="D173" s="114">
        <f>IF(B173&lt;=MIN(Simulation!$F$10*12+Simulation!$F$12*OR(Simulation!$F$11="Amortissable différé partiel",Simulation!$F$11="Amortissable différé total"),Simulation!$F$24*12),G173-E173,0)</f>
        <v>0</v>
      </c>
      <c r="E173" s="114">
        <f>IF(B173&lt;=MIN(Simulation!$F$10*12+Simulation!$F$12*OR(Simulation!$F$11="Amortissable différé partiel",Simulation!$F$11="Amortissable différé total"),Simulation!$F$24*12),IF(AND(B173&lt;=Simulation!$F$12,Simulation!$F$11="Amortissable différé total"),0,C172*Simulation!$F$8/12),0)</f>
        <v>0</v>
      </c>
      <c r="F173" s="114">
        <f>IF(B173&lt;=MIN(Simulation!$F$10*12+Simulation!$F$12*OR(Simulation!$F$11="Amortissable différé partiel",Simulation!$F$11="Amortissable différé total"),Simulation!$F$24*12),Simulation!$E$33*Simulation!$F$9/12,0)</f>
        <v>0</v>
      </c>
      <c r="G173" s="115">
        <f>IF(B173&lt;=MIN(Simulation!$F$10*12+Simulation!$F$12*OR(Simulation!$F$11="Amortissable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partiel",IF(B173&lt;=Simulation!$F$12,Simulation!$E$33*Simulation!$F$8/12,PMT(Simulation!$F$8/12,Simulation!$F$10*12,-Simulation!$E$34)),IF(Simulation!$F$11="Amortissable différé total",IF(B173&lt;=Simulation!$F$12,0,PMT(Simulation!$F$8/12,Simulation!$F$10*12,-Simulation!$E$34)),IF(Simulation!$F$11="In fine",IF(B173=Simulation!$F$10*12,Simulation!$E$34,Simulation!$F$8*Simulation!$E$34/12),0)))),0)</f>
        <v>0</v>
      </c>
      <c r="H173" s="113">
        <f>Simulation!$C$16/12*(1+Simulation!$F$15)^INT((B173-1)/12)*(B173&lt;=Simulation!$F$24*12)</f>
        <v>0</v>
      </c>
      <c r="I173" s="114">
        <f>(Simulation!$F$22-VLOOKUP(Simulation!$C$27,'Comparatif fiscal'!$B$8:$E$17,4,FALSE)-C173)*(B173=Simulation!$F$24*12)</f>
        <v>0</v>
      </c>
      <c r="J173" s="114">
        <f>(Simulation!$C$21+Simulation!$C$22)/12*(1+Simulation!$F$17)^INT((B173-1)/12)*(B173&lt;=Simulation!$F$24*12)</f>
        <v>0</v>
      </c>
      <c r="K173" s="114">
        <f>(H173*Simulation!$C$24+Simulation!$C$23/12*(1+Simulation!$F$15)^INT((B173-1)/12))*(B173&lt;=Simulation!$F$24*12)</f>
        <v>0</v>
      </c>
      <c r="L173" s="114">
        <f>Simulation!$C$19/12*(1+Simulation!$F$18)^INT((B173-1)/12)*(B173&lt;=Simulation!$F$24*12)</f>
        <v>0</v>
      </c>
      <c r="M173" s="114">
        <f>(Simulation!$C$20/12*(1+Simulation!$F$19)^INT((B173-1)/12)+F173)*(B173&lt;=Simulation!$F$24*12)</f>
        <v>0</v>
      </c>
      <c r="N173" s="114">
        <f ca="1">SUMIF('Détail fiscalité'!$B$8:$B$37,INT(B173/12),'Détail fiscalité'!$CI$8:$CI$37)/12+SUMIF('Détail fiscalité'!$B$8:$B$37,B173/12,'Détail fiscalité'!$CI$8:$CI$37)-SUMIF('Détail fiscalité'!$B$8:$B$37,B173/12-1,'Détail fiscalité'!$CI$8:$CI$37)</f>
        <v>0</v>
      </c>
      <c r="O173" s="116">
        <f t="shared" ca="1" si="20"/>
        <v>0</v>
      </c>
    </row>
    <row r="174" spans="2:15" x14ac:dyDescent="0.15">
      <c r="B174" s="40">
        <f t="shared" si="19"/>
        <v>167</v>
      </c>
      <c r="C174" s="113">
        <f>IF(B174&lt;=MIN(Simulation!$F$10*12+Simulation!$F$12*OR(Simulation!$F$11="Amortissable différé partiel",Simulation!$F$11="Amortissable différé total"),Simulation!$F$24*12),IF(AND(B174&lt;=Simulation!$F$12,OR(Simulation!$F$11="Amortissable différé partiel",Simulation!$F$11="Amortissable différé total")),C173*(1+(Simulation!$F$11="Amortissable différé total")*Simulation!$F$8/12),C173-D174),0)</f>
        <v>0</v>
      </c>
      <c r="D174" s="114">
        <f>IF(B174&lt;=MIN(Simulation!$F$10*12+Simulation!$F$12*OR(Simulation!$F$11="Amortissable différé partiel",Simulation!$F$11="Amortissable différé total"),Simulation!$F$24*12),G174-E174,0)</f>
        <v>0</v>
      </c>
      <c r="E174" s="114">
        <f>IF(B174&lt;=MIN(Simulation!$F$10*12+Simulation!$F$12*OR(Simulation!$F$11="Amortissable différé partiel",Simulation!$F$11="Amortissable différé total"),Simulation!$F$24*12),IF(AND(B174&lt;=Simulation!$F$12,Simulation!$F$11="Amortissable différé total"),0,C173*Simulation!$F$8/12),0)</f>
        <v>0</v>
      </c>
      <c r="F174" s="114">
        <f>IF(B174&lt;=MIN(Simulation!$F$10*12+Simulation!$F$12*OR(Simulation!$F$11="Amortissable différé partiel",Simulation!$F$11="Amortissable différé total"),Simulation!$F$24*12),Simulation!$E$33*Simulation!$F$9/12,0)</f>
        <v>0</v>
      </c>
      <c r="G174" s="115">
        <f>IF(B174&lt;=MIN(Simulation!$F$10*12+Simulation!$F$12*OR(Simulation!$F$11="Amortissable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partiel",IF(B174&lt;=Simulation!$F$12,Simulation!$E$33*Simulation!$F$8/12,PMT(Simulation!$F$8/12,Simulation!$F$10*12,-Simulation!$E$34)),IF(Simulation!$F$11="Amortissable différé total",IF(B174&lt;=Simulation!$F$12,0,PMT(Simulation!$F$8/12,Simulation!$F$10*12,-Simulation!$E$34)),IF(Simulation!$F$11="In fine",IF(B174=Simulation!$F$10*12,Simulation!$E$34,Simulation!$F$8*Simulation!$E$34/12),0)))),0)</f>
        <v>0</v>
      </c>
      <c r="H174" s="113">
        <f>Simulation!$C$16/12*(1+Simulation!$F$15)^INT((B174-1)/12)*(B174&lt;=Simulation!$F$24*12)</f>
        <v>0</v>
      </c>
      <c r="I174" s="114">
        <f>(Simulation!$F$22-VLOOKUP(Simulation!$C$27,'Comparatif fiscal'!$B$8:$E$17,4,FALSE)-C174)*(B174=Simulation!$F$24*12)</f>
        <v>0</v>
      </c>
      <c r="J174" s="114">
        <f>(Simulation!$C$21+Simulation!$C$22)/12*(1+Simulation!$F$17)^INT((B174-1)/12)*(B174&lt;=Simulation!$F$24*12)</f>
        <v>0</v>
      </c>
      <c r="K174" s="114">
        <f>(H174*Simulation!$C$24+Simulation!$C$23/12*(1+Simulation!$F$15)^INT((B174-1)/12))*(B174&lt;=Simulation!$F$24*12)</f>
        <v>0</v>
      </c>
      <c r="L174" s="114">
        <f>Simulation!$C$19/12*(1+Simulation!$F$18)^INT((B174-1)/12)*(B174&lt;=Simulation!$F$24*12)</f>
        <v>0</v>
      </c>
      <c r="M174" s="114">
        <f>(Simulation!$C$20/12*(1+Simulation!$F$19)^INT((B174-1)/12)+F174)*(B174&lt;=Simulation!$F$24*12)</f>
        <v>0</v>
      </c>
      <c r="N174" s="114">
        <f ca="1">SUMIF('Détail fiscalité'!$B$8:$B$37,INT(B174/12),'Détail fiscalité'!$CI$8:$CI$37)/12+SUMIF('Détail fiscalité'!$B$8:$B$37,B174/12,'Détail fiscalité'!$CI$8:$CI$37)-SUMIF('Détail fiscalité'!$B$8:$B$37,B174/12-1,'Détail fiscalité'!$CI$8:$CI$37)</f>
        <v>0</v>
      </c>
      <c r="O174" s="116">
        <f t="shared" ca="1" si="20"/>
        <v>0</v>
      </c>
    </row>
    <row r="175" spans="2:15" x14ac:dyDescent="0.15">
      <c r="B175" s="40">
        <f t="shared" si="19"/>
        <v>168</v>
      </c>
      <c r="C175" s="113">
        <f>IF(B175&lt;=MIN(Simulation!$F$10*12+Simulation!$F$12*OR(Simulation!$F$11="Amortissable différé partiel",Simulation!$F$11="Amortissable différé total"),Simulation!$F$24*12),IF(AND(B175&lt;=Simulation!$F$12,OR(Simulation!$F$11="Amortissable différé partiel",Simulation!$F$11="Amortissable différé total")),C174*(1+(Simulation!$F$11="Amortissable différé total")*Simulation!$F$8/12),C174-D175),0)</f>
        <v>0</v>
      </c>
      <c r="D175" s="114">
        <f>IF(B175&lt;=MIN(Simulation!$F$10*12+Simulation!$F$12*OR(Simulation!$F$11="Amortissable différé partiel",Simulation!$F$11="Amortissable différé total"),Simulation!$F$24*12),G175-E175,0)</f>
        <v>0</v>
      </c>
      <c r="E175" s="114">
        <f>IF(B175&lt;=MIN(Simulation!$F$10*12+Simulation!$F$12*OR(Simulation!$F$11="Amortissable différé partiel",Simulation!$F$11="Amortissable différé total"),Simulation!$F$24*12),IF(AND(B175&lt;=Simulation!$F$12,Simulation!$F$11="Amortissable différé total"),0,C174*Simulation!$F$8/12),0)</f>
        <v>0</v>
      </c>
      <c r="F175" s="114">
        <f>IF(B175&lt;=MIN(Simulation!$F$10*12+Simulation!$F$12*OR(Simulation!$F$11="Amortissable différé partiel",Simulation!$F$11="Amortissable différé total"),Simulation!$F$24*12),Simulation!$E$33*Simulation!$F$9/12,0)</f>
        <v>0</v>
      </c>
      <c r="G175" s="115">
        <f>IF(B175&lt;=MIN(Simulation!$F$10*12+Simulation!$F$12*OR(Simulation!$F$11="Amortissable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partiel",IF(B175&lt;=Simulation!$F$12,Simulation!$E$33*Simulation!$F$8/12,PMT(Simulation!$F$8/12,Simulation!$F$10*12,-Simulation!$E$34)),IF(Simulation!$F$11="Amortissable différé total",IF(B175&lt;=Simulation!$F$12,0,PMT(Simulation!$F$8/12,Simulation!$F$10*12,-Simulation!$E$34)),IF(Simulation!$F$11="In fine",IF(B175=Simulation!$F$10*12,Simulation!$E$34,Simulation!$F$8*Simulation!$E$34/12),0)))),0)</f>
        <v>0</v>
      </c>
      <c r="H175" s="113">
        <f>Simulation!$C$16/12*(1+Simulation!$F$15)^INT((B175-1)/12)*(B175&lt;=Simulation!$F$24*12)</f>
        <v>0</v>
      </c>
      <c r="I175" s="114">
        <f>(Simulation!$F$22-VLOOKUP(Simulation!$C$27,'Comparatif fiscal'!$B$8:$E$17,4,FALSE)-C175)*(B175=Simulation!$F$24*12)</f>
        <v>0</v>
      </c>
      <c r="J175" s="114">
        <f>(Simulation!$C$21+Simulation!$C$22)/12*(1+Simulation!$F$17)^INT((B175-1)/12)*(B175&lt;=Simulation!$F$24*12)</f>
        <v>0</v>
      </c>
      <c r="K175" s="114">
        <f>(H175*Simulation!$C$24+Simulation!$C$23/12*(1+Simulation!$F$15)^INT((B175-1)/12))*(B175&lt;=Simulation!$F$24*12)</f>
        <v>0</v>
      </c>
      <c r="L175" s="114">
        <f>Simulation!$C$19/12*(1+Simulation!$F$18)^INT((B175-1)/12)*(B175&lt;=Simulation!$F$24*12)</f>
        <v>0</v>
      </c>
      <c r="M175" s="114">
        <f>(Simulation!$C$20/12*(1+Simulation!$F$19)^INT((B175-1)/12)+F175)*(B175&lt;=Simulation!$F$24*12)</f>
        <v>0</v>
      </c>
      <c r="N175" s="114">
        <f ca="1">SUMIF('Détail fiscalité'!$B$8:$B$37,INT(B175/12),'Détail fiscalité'!$CI$8:$CI$37)/12+SUMIF('Détail fiscalité'!$B$8:$B$37,B175/12,'Détail fiscalité'!$CI$8:$CI$37)-SUMIF('Détail fiscalité'!$B$8:$B$37,B175/12-1,'Détail fiscalité'!$CI$8:$CI$37)</f>
        <v>0</v>
      </c>
      <c r="O175" s="116">
        <f t="shared" ca="1" si="20"/>
        <v>0</v>
      </c>
    </row>
    <row r="176" spans="2:15" x14ac:dyDescent="0.15">
      <c r="B176" s="40">
        <f t="shared" si="19"/>
        <v>169</v>
      </c>
      <c r="C176" s="113">
        <f>IF(B176&lt;=MIN(Simulation!$F$10*12+Simulation!$F$12*OR(Simulation!$F$11="Amortissable différé partiel",Simulation!$F$11="Amortissable différé total"),Simulation!$F$24*12),IF(AND(B176&lt;=Simulation!$F$12,OR(Simulation!$F$11="Amortissable différé partiel",Simulation!$F$11="Amortissable différé total")),C175*(1+(Simulation!$F$11="Amortissable différé total")*Simulation!$F$8/12),C175-D176),0)</f>
        <v>0</v>
      </c>
      <c r="D176" s="114">
        <f>IF(B176&lt;=MIN(Simulation!$F$10*12+Simulation!$F$12*OR(Simulation!$F$11="Amortissable différé partiel",Simulation!$F$11="Amortissable différé total"),Simulation!$F$24*12),G176-E176,0)</f>
        <v>0</v>
      </c>
      <c r="E176" s="114">
        <f>IF(B176&lt;=MIN(Simulation!$F$10*12+Simulation!$F$12*OR(Simulation!$F$11="Amortissable différé partiel",Simulation!$F$11="Amortissable différé total"),Simulation!$F$24*12),IF(AND(B176&lt;=Simulation!$F$12,Simulation!$F$11="Amortissable différé total"),0,C175*Simulation!$F$8/12),0)</f>
        <v>0</v>
      </c>
      <c r="F176" s="114">
        <f>IF(B176&lt;=MIN(Simulation!$F$10*12+Simulation!$F$12*OR(Simulation!$F$11="Amortissable différé partiel",Simulation!$F$11="Amortissable différé total"),Simulation!$F$24*12),Simulation!$E$33*Simulation!$F$9/12,0)</f>
        <v>0</v>
      </c>
      <c r="G176" s="115">
        <f>IF(B176&lt;=MIN(Simulation!$F$10*12+Simulation!$F$12*OR(Simulation!$F$11="Amortissable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partiel",IF(B176&lt;=Simulation!$F$12,Simulation!$E$33*Simulation!$F$8/12,PMT(Simulation!$F$8/12,Simulation!$F$10*12,-Simulation!$E$34)),IF(Simulation!$F$11="Amortissable différé total",IF(B176&lt;=Simulation!$F$12,0,PMT(Simulation!$F$8/12,Simulation!$F$10*12,-Simulation!$E$34)),IF(Simulation!$F$11="In fine",IF(B176=Simulation!$F$10*12,Simulation!$E$34,Simulation!$F$8*Simulation!$E$34/12),0)))),0)</f>
        <v>0</v>
      </c>
      <c r="H176" s="113">
        <f>Simulation!$C$16/12*(1+Simulation!$F$15)^INT((B176-1)/12)*(B176&lt;=Simulation!$F$24*12)</f>
        <v>0</v>
      </c>
      <c r="I176" s="114">
        <f>(Simulation!$F$22-VLOOKUP(Simulation!$C$27,'Comparatif fiscal'!$B$8:$E$17,4,FALSE)-C176)*(B176=Simulation!$F$24*12)</f>
        <v>0</v>
      </c>
      <c r="J176" s="114">
        <f>(Simulation!$C$21+Simulation!$C$22)/12*(1+Simulation!$F$17)^INT((B176-1)/12)*(B176&lt;=Simulation!$F$24*12)</f>
        <v>0</v>
      </c>
      <c r="K176" s="114">
        <f>(H176*Simulation!$C$24+Simulation!$C$23/12*(1+Simulation!$F$15)^INT((B176-1)/12))*(B176&lt;=Simulation!$F$24*12)</f>
        <v>0</v>
      </c>
      <c r="L176" s="114">
        <f>Simulation!$C$19/12*(1+Simulation!$F$18)^INT((B176-1)/12)*(B176&lt;=Simulation!$F$24*12)</f>
        <v>0</v>
      </c>
      <c r="M176" s="114">
        <f>(Simulation!$C$20/12*(1+Simulation!$F$19)^INT((B176-1)/12)+F176)*(B176&lt;=Simulation!$F$24*12)</f>
        <v>0</v>
      </c>
      <c r="N176" s="114">
        <f ca="1">SUMIF('Détail fiscalité'!$B$8:$B$37,INT(B176/12),'Détail fiscalité'!$CI$8:$CI$37)/12+SUMIF('Détail fiscalité'!$B$8:$B$37,B176/12,'Détail fiscalité'!$CI$8:$CI$37)-SUMIF('Détail fiscalité'!$B$8:$B$37,B176/12-1,'Détail fiscalité'!$CI$8:$CI$37)</f>
        <v>0</v>
      </c>
      <c r="O176" s="116">
        <f t="shared" ca="1" si="20"/>
        <v>0</v>
      </c>
    </row>
    <row r="177" spans="2:15" x14ac:dyDescent="0.15">
      <c r="B177" s="40">
        <f t="shared" si="19"/>
        <v>170</v>
      </c>
      <c r="C177" s="113">
        <f>IF(B177&lt;=MIN(Simulation!$F$10*12+Simulation!$F$12*OR(Simulation!$F$11="Amortissable différé partiel",Simulation!$F$11="Amortissable différé total"),Simulation!$F$24*12),IF(AND(B177&lt;=Simulation!$F$12,OR(Simulation!$F$11="Amortissable différé partiel",Simulation!$F$11="Amortissable différé total")),C176*(1+(Simulation!$F$11="Amortissable différé total")*Simulation!$F$8/12),C176-D177),0)</f>
        <v>0</v>
      </c>
      <c r="D177" s="114">
        <f>IF(B177&lt;=MIN(Simulation!$F$10*12+Simulation!$F$12*OR(Simulation!$F$11="Amortissable différé partiel",Simulation!$F$11="Amortissable différé total"),Simulation!$F$24*12),G177-E177,0)</f>
        <v>0</v>
      </c>
      <c r="E177" s="114">
        <f>IF(B177&lt;=MIN(Simulation!$F$10*12+Simulation!$F$12*OR(Simulation!$F$11="Amortissable différé partiel",Simulation!$F$11="Amortissable différé total"),Simulation!$F$24*12),IF(AND(B177&lt;=Simulation!$F$12,Simulation!$F$11="Amortissable différé total"),0,C176*Simulation!$F$8/12),0)</f>
        <v>0</v>
      </c>
      <c r="F177" s="114">
        <f>IF(B177&lt;=MIN(Simulation!$F$10*12+Simulation!$F$12*OR(Simulation!$F$11="Amortissable différé partiel",Simulation!$F$11="Amortissable différé total"),Simulation!$F$24*12),Simulation!$E$33*Simulation!$F$9/12,0)</f>
        <v>0</v>
      </c>
      <c r="G177" s="115">
        <f>IF(B177&lt;=MIN(Simulation!$F$10*12+Simulation!$F$12*OR(Simulation!$F$11="Amortissable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partiel",IF(B177&lt;=Simulation!$F$12,Simulation!$E$33*Simulation!$F$8/12,PMT(Simulation!$F$8/12,Simulation!$F$10*12,-Simulation!$E$34)),IF(Simulation!$F$11="Amortissable différé total",IF(B177&lt;=Simulation!$F$12,0,PMT(Simulation!$F$8/12,Simulation!$F$10*12,-Simulation!$E$34)),IF(Simulation!$F$11="In fine",IF(B177=Simulation!$F$10*12,Simulation!$E$34,Simulation!$F$8*Simulation!$E$34/12),0)))),0)</f>
        <v>0</v>
      </c>
      <c r="H177" s="113">
        <f>Simulation!$C$16/12*(1+Simulation!$F$15)^INT((B177-1)/12)*(B177&lt;=Simulation!$F$24*12)</f>
        <v>0</v>
      </c>
      <c r="I177" s="114">
        <f>(Simulation!$F$22-VLOOKUP(Simulation!$C$27,'Comparatif fiscal'!$B$8:$E$17,4,FALSE)-C177)*(B177=Simulation!$F$24*12)</f>
        <v>0</v>
      </c>
      <c r="J177" s="114">
        <f>(Simulation!$C$21+Simulation!$C$22)/12*(1+Simulation!$F$17)^INT((B177-1)/12)*(B177&lt;=Simulation!$F$24*12)</f>
        <v>0</v>
      </c>
      <c r="K177" s="114">
        <f>(H177*Simulation!$C$24+Simulation!$C$23/12*(1+Simulation!$F$15)^INT((B177-1)/12))*(B177&lt;=Simulation!$F$24*12)</f>
        <v>0</v>
      </c>
      <c r="L177" s="114">
        <f>Simulation!$C$19/12*(1+Simulation!$F$18)^INT((B177-1)/12)*(B177&lt;=Simulation!$F$24*12)</f>
        <v>0</v>
      </c>
      <c r="M177" s="114">
        <f>(Simulation!$C$20/12*(1+Simulation!$F$19)^INT((B177-1)/12)+F177)*(B177&lt;=Simulation!$F$24*12)</f>
        <v>0</v>
      </c>
      <c r="N177" s="114">
        <f ca="1">SUMIF('Détail fiscalité'!$B$8:$B$37,INT(B177/12),'Détail fiscalité'!$CI$8:$CI$37)/12+SUMIF('Détail fiscalité'!$B$8:$B$37,B177/12,'Détail fiscalité'!$CI$8:$CI$37)-SUMIF('Détail fiscalité'!$B$8:$B$37,B177/12-1,'Détail fiscalité'!$CI$8:$CI$37)</f>
        <v>0</v>
      </c>
      <c r="O177" s="116">
        <f t="shared" ca="1" si="20"/>
        <v>0</v>
      </c>
    </row>
    <row r="178" spans="2:15" x14ac:dyDescent="0.15">
      <c r="B178" s="40">
        <f t="shared" si="19"/>
        <v>171</v>
      </c>
      <c r="C178" s="113">
        <f>IF(B178&lt;=MIN(Simulation!$F$10*12+Simulation!$F$12*OR(Simulation!$F$11="Amortissable différé partiel",Simulation!$F$11="Amortissable différé total"),Simulation!$F$24*12),IF(AND(B178&lt;=Simulation!$F$12,OR(Simulation!$F$11="Amortissable différé partiel",Simulation!$F$11="Amortissable différé total")),C177*(1+(Simulation!$F$11="Amortissable différé total")*Simulation!$F$8/12),C177-D178),0)</f>
        <v>0</v>
      </c>
      <c r="D178" s="114">
        <f>IF(B178&lt;=MIN(Simulation!$F$10*12+Simulation!$F$12*OR(Simulation!$F$11="Amortissable différé partiel",Simulation!$F$11="Amortissable différé total"),Simulation!$F$24*12),G178-E178,0)</f>
        <v>0</v>
      </c>
      <c r="E178" s="114">
        <f>IF(B178&lt;=MIN(Simulation!$F$10*12+Simulation!$F$12*OR(Simulation!$F$11="Amortissable différé partiel",Simulation!$F$11="Amortissable différé total"),Simulation!$F$24*12),IF(AND(B178&lt;=Simulation!$F$12,Simulation!$F$11="Amortissable différé total"),0,C177*Simulation!$F$8/12),0)</f>
        <v>0</v>
      </c>
      <c r="F178" s="114">
        <f>IF(B178&lt;=MIN(Simulation!$F$10*12+Simulation!$F$12*OR(Simulation!$F$11="Amortissable différé partiel",Simulation!$F$11="Amortissable différé total"),Simulation!$F$24*12),Simulation!$E$33*Simulation!$F$9/12,0)</f>
        <v>0</v>
      </c>
      <c r="G178" s="115">
        <f>IF(B178&lt;=MIN(Simulation!$F$10*12+Simulation!$F$12*OR(Simulation!$F$11="Amortissable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partiel",IF(B178&lt;=Simulation!$F$12,Simulation!$E$33*Simulation!$F$8/12,PMT(Simulation!$F$8/12,Simulation!$F$10*12,-Simulation!$E$34)),IF(Simulation!$F$11="Amortissable différé total",IF(B178&lt;=Simulation!$F$12,0,PMT(Simulation!$F$8/12,Simulation!$F$10*12,-Simulation!$E$34)),IF(Simulation!$F$11="In fine",IF(B178=Simulation!$F$10*12,Simulation!$E$34,Simulation!$F$8*Simulation!$E$34/12),0)))),0)</f>
        <v>0</v>
      </c>
      <c r="H178" s="113">
        <f>Simulation!$C$16/12*(1+Simulation!$F$15)^INT((B178-1)/12)*(B178&lt;=Simulation!$F$24*12)</f>
        <v>0</v>
      </c>
      <c r="I178" s="114">
        <f>(Simulation!$F$22-VLOOKUP(Simulation!$C$27,'Comparatif fiscal'!$B$8:$E$17,4,FALSE)-C178)*(B178=Simulation!$F$24*12)</f>
        <v>0</v>
      </c>
      <c r="J178" s="114">
        <f>(Simulation!$C$21+Simulation!$C$22)/12*(1+Simulation!$F$17)^INT((B178-1)/12)*(B178&lt;=Simulation!$F$24*12)</f>
        <v>0</v>
      </c>
      <c r="K178" s="114">
        <f>(H178*Simulation!$C$24+Simulation!$C$23/12*(1+Simulation!$F$15)^INT((B178-1)/12))*(B178&lt;=Simulation!$F$24*12)</f>
        <v>0</v>
      </c>
      <c r="L178" s="114">
        <f>Simulation!$C$19/12*(1+Simulation!$F$18)^INT((B178-1)/12)*(B178&lt;=Simulation!$F$24*12)</f>
        <v>0</v>
      </c>
      <c r="M178" s="114">
        <f>(Simulation!$C$20/12*(1+Simulation!$F$19)^INT((B178-1)/12)+F178)*(B178&lt;=Simulation!$F$24*12)</f>
        <v>0</v>
      </c>
      <c r="N178" s="114">
        <f ca="1">SUMIF('Détail fiscalité'!$B$8:$B$37,INT(B178/12),'Détail fiscalité'!$CI$8:$CI$37)/12+SUMIF('Détail fiscalité'!$B$8:$B$37,B178/12,'Détail fiscalité'!$CI$8:$CI$37)-SUMIF('Détail fiscalité'!$B$8:$B$37,B178/12-1,'Détail fiscalité'!$CI$8:$CI$37)</f>
        <v>0</v>
      </c>
      <c r="O178" s="116">
        <f t="shared" ca="1" si="20"/>
        <v>0</v>
      </c>
    </row>
    <row r="179" spans="2:15" x14ac:dyDescent="0.15">
      <c r="B179" s="40">
        <f t="shared" si="19"/>
        <v>172</v>
      </c>
      <c r="C179" s="113">
        <f>IF(B179&lt;=MIN(Simulation!$F$10*12+Simulation!$F$12*OR(Simulation!$F$11="Amortissable différé partiel",Simulation!$F$11="Amortissable différé total"),Simulation!$F$24*12),IF(AND(B179&lt;=Simulation!$F$12,OR(Simulation!$F$11="Amortissable différé partiel",Simulation!$F$11="Amortissable différé total")),C178*(1+(Simulation!$F$11="Amortissable différé total")*Simulation!$F$8/12),C178-D179),0)</f>
        <v>0</v>
      </c>
      <c r="D179" s="114">
        <f>IF(B179&lt;=MIN(Simulation!$F$10*12+Simulation!$F$12*OR(Simulation!$F$11="Amortissable différé partiel",Simulation!$F$11="Amortissable différé total"),Simulation!$F$24*12),G179-E179,0)</f>
        <v>0</v>
      </c>
      <c r="E179" s="114">
        <f>IF(B179&lt;=MIN(Simulation!$F$10*12+Simulation!$F$12*OR(Simulation!$F$11="Amortissable différé partiel",Simulation!$F$11="Amortissable différé total"),Simulation!$F$24*12),IF(AND(B179&lt;=Simulation!$F$12,Simulation!$F$11="Amortissable différé total"),0,C178*Simulation!$F$8/12),0)</f>
        <v>0</v>
      </c>
      <c r="F179" s="114">
        <f>IF(B179&lt;=MIN(Simulation!$F$10*12+Simulation!$F$12*OR(Simulation!$F$11="Amortissable différé partiel",Simulation!$F$11="Amortissable différé total"),Simulation!$F$24*12),Simulation!$E$33*Simulation!$F$9/12,0)</f>
        <v>0</v>
      </c>
      <c r="G179" s="115">
        <f>IF(B179&lt;=MIN(Simulation!$F$10*12+Simulation!$F$12*OR(Simulation!$F$11="Amortissable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partiel",IF(B179&lt;=Simulation!$F$12,Simulation!$E$33*Simulation!$F$8/12,PMT(Simulation!$F$8/12,Simulation!$F$10*12,-Simulation!$E$34)),IF(Simulation!$F$11="Amortissable différé total",IF(B179&lt;=Simulation!$F$12,0,PMT(Simulation!$F$8/12,Simulation!$F$10*12,-Simulation!$E$34)),IF(Simulation!$F$11="In fine",IF(B179=Simulation!$F$10*12,Simulation!$E$34,Simulation!$F$8*Simulation!$E$34/12),0)))),0)</f>
        <v>0</v>
      </c>
      <c r="H179" s="113">
        <f>Simulation!$C$16/12*(1+Simulation!$F$15)^INT((B179-1)/12)*(B179&lt;=Simulation!$F$24*12)</f>
        <v>0</v>
      </c>
      <c r="I179" s="114">
        <f>(Simulation!$F$22-VLOOKUP(Simulation!$C$27,'Comparatif fiscal'!$B$8:$E$17,4,FALSE)-C179)*(B179=Simulation!$F$24*12)</f>
        <v>0</v>
      </c>
      <c r="J179" s="114">
        <f>(Simulation!$C$21+Simulation!$C$22)/12*(1+Simulation!$F$17)^INT((B179-1)/12)*(B179&lt;=Simulation!$F$24*12)</f>
        <v>0</v>
      </c>
      <c r="K179" s="114">
        <f>(H179*Simulation!$C$24+Simulation!$C$23/12*(1+Simulation!$F$15)^INT((B179-1)/12))*(B179&lt;=Simulation!$F$24*12)</f>
        <v>0</v>
      </c>
      <c r="L179" s="114">
        <f>Simulation!$C$19/12*(1+Simulation!$F$18)^INT((B179-1)/12)*(B179&lt;=Simulation!$F$24*12)</f>
        <v>0</v>
      </c>
      <c r="M179" s="114">
        <f>(Simulation!$C$20/12*(1+Simulation!$F$19)^INT((B179-1)/12)+F179)*(B179&lt;=Simulation!$F$24*12)</f>
        <v>0</v>
      </c>
      <c r="N179" s="114">
        <f ca="1">SUMIF('Détail fiscalité'!$B$8:$B$37,INT(B179/12),'Détail fiscalité'!$CI$8:$CI$37)/12+SUMIF('Détail fiscalité'!$B$8:$B$37,B179/12,'Détail fiscalité'!$CI$8:$CI$37)-SUMIF('Détail fiscalité'!$B$8:$B$37,B179/12-1,'Détail fiscalité'!$CI$8:$CI$37)</f>
        <v>0</v>
      </c>
      <c r="O179" s="116">
        <f t="shared" ca="1" si="20"/>
        <v>0</v>
      </c>
    </row>
    <row r="180" spans="2:15" x14ac:dyDescent="0.15">
      <c r="B180" s="40">
        <f t="shared" si="19"/>
        <v>173</v>
      </c>
      <c r="C180" s="113">
        <f>IF(B180&lt;=MIN(Simulation!$F$10*12+Simulation!$F$12*OR(Simulation!$F$11="Amortissable différé partiel",Simulation!$F$11="Amortissable différé total"),Simulation!$F$24*12),IF(AND(B180&lt;=Simulation!$F$12,OR(Simulation!$F$11="Amortissable différé partiel",Simulation!$F$11="Amortissable différé total")),C179*(1+(Simulation!$F$11="Amortissable différé total")*Simulation!$F$8/12),C179-D180),0)</f>
        <v>0</v>
      </c>
      <c r="D180" s="114">
        <f>IF(B180&lt;=MIN(Simulation!$F$10*12+Simulation!$F$12*OR(Simulation!$F$11="Amortissable différé partiel",Simulation!$F$11="Amortissable différé total"),Simulation!$F$24*12),G180-E180,0)</f>
        <v>0</v>
      </c>
      <c r="E180" s="114">
        <f>IF(B180&lt;=MIN(Simulation!$F$10*12+Simulation!$F$12*OR(Simulation!$F$11="Amortissable différé partiel",Simulation!$F$11="Amortissable différé total"),Simulation!$F$24*12),IF(AND(B180&lt;=Simulation!$F$12,Simulation!$F$11="Amortissable différé total"),0,C179*Simulation!$F$8/12),0)</f>
        <v>0</v>
      </c>
      <c r="F180" s="114">
        <f>IF(B180&lt;=MIN(Simulation!$F$10*12+Simulation!$F$12*OR(Simulation!$F$11="Amortissable différé partiel",Simulation!$F$11="Amortissable différé total"),Simulation!$F$24*12),Simulation!$E$33*Simulation!$F$9/12,0)</f>
        <v>0</v>
      </c>
      <c r="G180" s="115">
        <f>IF(B180&lt;=MIN(Simulation!$F$10*12+Simulation!$F$12*OR(Simulation!$F$11="Amortissable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partiel",IF(B180&lt;=Simulation!$F$12,Simulation!$E$33*Simulation!$F$8/12,PMT(Simulation!$F$8/12,Simulation!$F$10*12,-Simulation!$E$34)),IF(Simulation!$F$11="Amortissable différé total",IF(B180&lt;=Simulation!$F$12,0,PMT(Simulation!$F$8/12,Simulation!$F$10*12,-Simulation!$E$34)),IF(Simulation!$F$11="In fine",IF(B180=Simulation!$F$10*12,Simulation!$E$34,Simulation!$F$8*Simulation!$E$34/12),0)))),0)</f>
        <v>0</v>
      </c>
      <c r="H180" s="113">
        <f>Simulation!$C$16/12*(1+Simulation!$F$15)^INT((B180-1)/12)*(B180&lt;=Simulation!$F$24*12)</f>
        <v>0</v>
      </c>
      <c r="I180" s="114">
        <f>(Simulation!$F$22-VLOOKUP(Simulation!$C$27,'Comparatif fiscal'!$B$8:$E$17,4,FALSE)-C180)*(B180=Simulation!$F$24*12)</f>
        <v>0</v>
      </c>
      <c r="J180" s="114">
        <f>(Simulation!$C$21+Simulation!$C$22)/12*(1+Simulation!$F$17)^INT((B180-1)/12)*(B180&lt;=Simulation!$F$24*12)</f>
        <v>0</v>
      </c>
      <c r="K180" s="114">
        <f>(H180*Simulation!$C$24+Simulation!$C$23/12*(1+Simulation!$F$15)^INT((B180-1)/12))*(B180&lt;=Simulation!$F$24*12)</f>
        <v>0</v>
      </c>
      <c r="L180" s="114">
        <f>Simulation!$C$19/12*(1+Simulation!$F$18)^INT((B180-1)/12)*(B180&lt;=Simulation!$F$24*12)</f>
        <v>0</v>
      </c>
      <c r="M180" s="114">
        <f>(Simulation!$C$20/12*(1+Simulation!$F$19)^INT((B180-1)/12)+F180)*(B180&lt;=Simulation!$F$24*12)</f>
        <v>0</v>
      </c>
      <c r="N180" s="114">
        <f ca="1">SUMIF('Détail fiscalité'!$B$8:$B$37,INT(B180/12),'Détail fiscalité'!$CI$8:$CI$37)/12+SUMIF('Détail fiscalité'!$B$8:$B$37,B180/12,'Détail fiscalité'!$CI$8:$CI$37)-SUMIF('Détail fiscalité'!$B$8:$B$37,B180/12-1,'Détail fiscalité'!$CI$8:$CI$37)</f>
        <v>0</v>
      </c>
      <c r="O180" s="116">
        <f t="shared" ca="1" si="20"/>
        <v>0</v>
      </c>
    </row>
    <row r="181" spans="2:15" x14ac:dyDescent="0.15">
      <c r="B181" s="40">
        <f t="shared" si="19"/>
        <v>174</v>
      </c>
      <c r="C181" s="113">
        <f>IF(B181&lt;=MIN(Simulation!$F$10*12+Simulation!$F$12*OR(Simulation!$F$11="Amortissable différé partiel",Simulation!$F$11="Amortissable différé total"),Simulation!$F$24*12),IF(AND(B181&lt;=Simulation!$F$12,OR(Simulation!$F$11="Amortissable différé partiel",Simulation!$F$11="Amortissable différé total")),C180*(1+(Simulation!$F$11="Amortissable différé total")*Simulation!$F$8/12),C180-D181),0)</f>
        <v>0</v>
      </c>
      <c r="D181" s="114">
        <f>IF(B181&lt;=MIN(Simulation!$F$10*12+Simulation!$F$12*OR(Simulation!$F$11="Amortissable différé partiel",Simulation!$F$11="Amortissable différé total"),Simulation!$F$24*12),G181-E181,0)</f>
        <v>0</v>
      </c>
      <c r="E181" s="114">
        <f>IF(B181&lt;=MIN(Simulation!$F$10*12+Simulation!$F$12*OR(Simulation!$F$11="Amortissable différé partiel",Simulation!$F$11="Amortissable différé total"),Simulation!$F$24*12),IF(AND(B181&lt;=Simulation!$F$12,Simulation!$F$11="Amortissable différé total"),0,C180*Simulation!$F$8/12),0)</f>
        <v>0</v>
      </c>
      <c r="F181" s="114">
        <f>IF(B181&lt;=MIN(Simulation!$F$10*12+Simulation!$F$12*OR(Simulation!$F$11="Amortissable différé partiel",Simulation!$F$11="Amortissable différé total"),Simulation!$F$24*12),Simulation!$E$33*Simulation!$F$9/12,0)</f>
        <v>0</v>
      </c>
      <c r="G181" s="115">
        <f>IF(B181&lt;=MIN(Simulation!$F$10*12+Simulation!$F$12*OR(Simulation!$F$11="Amortissable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partiel",IF(B181&lt;=Simulation!$F$12,Simulation!$E$33*Simulation!$F$8/12,PMT(Simulation!$F$8/12,Simulation!$F$10*12,-Simulation!$E$34)),IF(Simulation!$F$11="Amortissable différé total",IF(B181&lt;=Simulation!$F$12,0,PMT(Simulation!$F$8/12,Simulation!$F$10*12,-Simulation!$E$34)),IF(Simulation!$F$11="In fine",IF(B181=Simulation!$F$10*12,Simulation!$E$34,Simulation!$F$8*Simulation!$E$34/12),0)))),0)</f>
        <v>0</v>
      </c>
      <c r="H181" s="113">
        <f>Simulation!$C$16/12*(1+Simulation!$F$15)^INT((B181-1)/12)*(B181&lt;=Simulation!$F$24*12)</f>
        <v>0</v>
      </c>
      <c r="I181" s="114">
        <f>(Simulation!$F$22-VLOOKUP(Simulation!$C$27,'Comparatif fiscal'!$B$8:$E$17,4,FALSE)-C181)*(B181=Simulation!$F$24*12)</f>
        <v>0</v>
      </c>
      <c r="J181" s="114">
        <f>(Simulation!$C$21+Simulation!$C$22)/12*(1+Simulation!$F$17)^INT((B181-1)/12)*(B181&lt;=Simulation!$F$24*12)</f>
        <v>0</v>
      </c>
      <c r="K181" s="114">
        <f>(H181*Simulation!$C$24+Simulation!$C$23/12*(1+Simulation!$F$15)^INT((B181-1)/12))*(B181&lt;=Simulation!$F$24*12)</f>
        <v>0</v>
      </c>
      <c r="L181" s="114">
        <f>Simulation!$C$19/12*(1+Simulation!$F$18)^INT((B181-1)/12)*(B181&lt;=Simulation!$F$24*12)</f>
        <v>0</v>
      </c>
      <c r="M181" s="114">
        <f>(Simulation!$C$20/12*(1+Simulation!$F$19)^INT((B181-1)/12)+F181)*(B181&lt;=Simulation!$F$24*12)</f>
        <v>0</v>
      </c>
      <c r="N181" s="114">
        <f ca="1">SUMIF('Détail fiscalité'!$B$8:$B$37,INT(B181/12),'Détail fiscalité'!$CI$8:$CI$37)/12+SUMIF('Détail fiscalité'!$B$8:$B$37,B181/12,'Détail fiscalité'!$CI$8:$CI$37)-SUMIF('Détail fiscalité'!$B$8:$B$37,B181/12-1,'Détail fiscalité'!$CI$8:$CI$37)</f>
        <v>0</v>
      </c>
      <c r="O181" s="116">
        <f t="shared" ca="1" si="20"/>
        <v>0</v>
      </c>
    </row>
    <row r="182" spans="2:15" x14ac:dyDescent="0.15">
      <c r="B182" s="40">
        <f t="shared" si="19"/>
        <v>175</v>
      </c>
      <c r="C182" s="113">
        <f>IF(B182&lt;=MIN(Simulation!$F$10*12+Simulation!$F$12*OR(Simulation!$F$11="Amortissable différé partiel",Simulation!$F$11="Amortissable différé total"),Simulation!$F$24*12),IF(AND(B182&lt;=Simulation!$F$12,OR(Simulation!$F$11="Amortissable différé partiel",Simulation!$F$11="Amortissable différé total")),C181*(1+(Simulation!$F$11="Amortissable différé total")*Simulation!$F$8/12),C181-D182),0)</f>
        <v>0</v>
      </c>
      <c r="D182" s="114">
        <f>IF(B182&lt;=MIN(Simulation!$F$10*12+Simulation!$F$12*OR(Simulation!$F$11="Amortissable différé partiel",Simulation!$F$11="Amortissable différé total"),Simulation!$F$24*12),G182-E182,0)</f>
        <v>0</v>
      </c>
      <c r="E182" s="114">
        <f>IF(B182&lt;=MIN(Simulation!$F$10*12+Simulation!$F$12*OR(Simulation!$F$11="Amortissable différé partiel",Simulation!$F$11="Amortissable différé total"),Simulation!$F$24*12),IF(AND(B182&lt;=Simulation!$F$12,Simulation!$F$11="Amortissable différé total"),0,C181*Simulation!$F$8/12),0)</f>
        <v>0</v>
      </c>
      <c r="F182" s="114">
        <f>IF(B182&lt;=MIN(Simulation!$F$10*12+Simulation!$F$12*OR(Simulation!$F$11="Amortissable différé partiel",Simulation!$F$11="Amortissable différé total"),Simulation!$F$24*12),Simulation!$E$33*Simulation!$F$9/12,0)</f>
        <v>0</v>
      </c>
      <c r="G182" s="115">
        <f>IF(B182&lt;=MIN(Simulation!$F$10*12+Simulation!$F$12*OR(Simulation!$F$11="Amortissable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partiel",IF(B182&lt;=Simulation!$F$12,Simulation!$E$33*Simulation!$F$8/12,PMT(Simulation!$F$8/12,Simulation!$F$10*12,-Simulation!$E$34)),IF(Simulation!$F$11="Amortissable différé total",IF(B182&lt;=Simulation!$F$12,0,PMT(Simulation!$F$8/12,Simulation!$F$10*12,-Simulation!$E$34)),IF(Simulation!$F$11="In fine",IF(B182=Simulation!$F$10*12,Simulation!$E$34,Simulation!$F$8*Simulation!$E$34/12),0)))),0)</f>
        <v>0</v>
      </c>
      <c r="H182" s="113">
        <f>Simulation!$C$16/12*(1+Simulation!$F$15)^INT((B182-1)/12)*(B182&lt;=Simulation!$F$24*12)</f>
        <v>0</v>
      </c>
      <c r="I182" s="114">
        <f>(Simulation!$F$22-VLOOKUP(Simulation!$C$27,'Comparatif fiscal'!$B$8:$E$17,4,FALSE)-C182)*(B182=Simulation!$F$24*12)</f>
        <v>0</v>
      </c>
      <c r="J182" s="114">
        <f>(Simulation!$C$21+Simulation!$C$22)/12*(1+Simulation!$F$17)^INT((B182-1)/12)*(B182&lt;=Simulation!$F$24*12)</f>
        <v>0</v>
      </c>
      <c r="K182" s="114">
        <f>(H182*Simulation!$C$24+Simulation!$C$23/12*(1+Simulation!$F$15)^INT((B182-1)/12))*(B182&lt;=Simulation!$F$24*12)</f>
        <v>0</v>
      </c>
      <c r="L182" s="114">
        <f>Simulation!$C$19/12*(1+Simulation!$F$18)^INT((B182-1)/12)*(B182&lt;=Simulation!$F$24*12)</f>
        <v>0</v>
      </c>
      <c r="M182" s="114">
        <f>(Simulation!$C$20/12*(1+Simulation!$F$19)^INT((B182-1)/12)+F182)*(B182&lt;=Simulation!$F$24*12)</f>
        <v>0</v>
      </c>
      <c r="N182" s="114">
        <f ca="1">SUMIF('Détail fiscalité'!$B$8:$B$37,INT(B182/12),'Détail fiscalité'!$CI$8:$CI$37)/12+SUMIF('Détail fiscalité'!$B$8:$B$37,B182/12,'Détail fiscalité'!$CI$8:$CI$37)-SUMIF('Détail fiscalité'!$B$8:$B$37,B182/12-1,'Détail fiscalité'!$CI$8:$CI$37)</f>
        <v>0</v>
      </c>
      <c r="O182" s="116">
        <f t="shared" ca="1" si="20"/>
        <v>0</v>
      </c>
    </row>
    <row r="183" spans="2:15" x14ac:dyDescent="0.15">
      <c r="B183" s="40">
        <f t="shared" si="19"/>
        <v>176</v>
      </c>
      <c r="C183" s="113">
        <f>IF(B183&lt;=MIN(Simulation!$F$10*12+Simulation!$F$12*OR(Simulation!$F$11="Amortissable différé partiel",Simulation!$F$11="Amortissable différé total"),Simulation!$F$24*12),IF(AND(B183&lt;=Simulation!$F$12,OR(Simulation!$F$11="Amortissable différé partiel",Simulation!$F$11="Amortissable différé total")),C182*(1+(Simulation!$F$11="Amortissable différé total")*Simulation!$F$8/12),C182-D183),0)</f>
        <v>0</v>
      </c>
      <c r="D183" s="114">
        <f>IF(B183&lt;=MIN(Simulation!$F$10*12+Simulation!$F$12*OR(Simulation!$F$11="Amortissable différé partiel",Simulation!$F$11="Amortissable différé total"),Simulation!$F$24*12),G183-E183,0)</f>
        <v>0</v>
      </c>
      <c r="E183" s="114">
        <f>IF(B183&lt;=MIN(Simulation!$F$10*12+Simulation!$F$12*OR(Simulation!$F$11="Amortissable différé partiel",Simulation!$F$11="Amortissable différé total"),Simulation!$F$24*12),IF(AND(B183&lt;=Simulation!$F$12,Simulation!$F$11="Amortissable différé total"),0,C182*Simulation!$F$8/12),0)</f>
        <v>0</v>
      </c>
      <c r="F183" s="114">
        <f>IF(B183&lt;=MIN(Simulation!$F$10*12+Simulation!$F$12*OR(Simulation!$F$11="Amortissable différé partiel",Simulation!$F$11="Amortissable différé total"),Simulation!$F$24*12),Simulation!$E$33*Simulation!$F$9/12,0)</f>
        <v>0</v>
      </c>
      <c r="G183" s="115">
        <f>IF(B183&lt;=MIN(Simulation!$F$10*12+Simulation!$F$12*OR(Simulation!$F$11="Amortissable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partiel",IF(B183&lt;=Simulation!$F$12,Simulation!$E$33*Simulation!$F$8/12,PMT(Simulation!$F$8/12,Simulation!$F$10*12,-Simulation!$E$34)),IF(Simulation!$F$11="Amortissable différé total",IF(B183&lt;=Simulation!$F$12,0,PMT(Simulation!$F$8/12,Simulation!$F$10*12,-Simulation!$E$34)),IF(Simulation!$F$11="In fine",IF(B183=Simulation!$F$10*12,Simulation!$E$34,Simulation!$F$8*Simulation!$E$34/12),0)))),0)</f>
        <v>0</v>
      </c>
      <c r="H183" s="113">
        <f>Simulation!$C$16/12*(1+Simulation!$F$15)^INT((B183-1)/12)*(B183&lt;=Simulation!$F$24*12)</f>
        <v>0</v>
      </c>
      <c r="I183" s="114">
        <f>(Simulation!$F$22-VLOOKUP(Simulation!$C$27,'Comparatif fiscal'!$B$8:$E$17,4,FALSE)-C183)*(B183=Simulation!$F$24*12)</f>
        <v>0</v>
      </c>
      <c r="J183" s="114">
        <f>(Simulation!$C$21+Simulation!$C$22)/12*(1+Simulation!$F$17)^INT((B183-1)/12)*(B183&lt;=Simulation!$F$24*12)</f>
        <v>0</v>
      </c>
      <c r="K183" s="114">
        <f>(H183*Simulation!$C$24+Simulation!$C$23/12*(1+Simulation!$F$15)^INT((B183-1)/12))*(B183&lt;=Simulation!$F$24*12)</f>
        <v>0</v>
      </c>
      <c r="L183" s="114">
        <f>Simulation!$C$19/12*(1+Simulation!$F$18)^INT((B183-1)/12)*(B183&lt;=Simulation!$F$24*12)</f>
        <v>0</v>
      </c>
      <c r="M183" s="114">
        <f>(Simulation!$C$20/12*(1+Simulation!$F$19)^INT((B183-1)/12)+F183)*(B183&lt;=Simulation!$F$24*12)</f>
        <v>0</v>
      </c>
      <c r="N183" s="114">
        <f ca="1">SUMIF('Détail fiscalité'!$B$8:$B$37,INT(B183/12),'Détail fiscalité'!$CI$8:$CI$37)/12+SUMIF('Détail fiscalité'!$B$8:$B$37,B183/12,'Détail fiscalité'!$CI$8:$CI$37)-SUMIF('Détail fiscalité'!$B$8:$B$37,B183/12-1,'Détail fiscalité'!$CI$8:$CI$37)</f>
        <v>0</v>
      </c>
      <c r="O183" s="116">
        <f t="shared" ca="1" si="20"/>
        <v>0</v>
      </c>
    </row>
    <row r="184" spans="2:15" x14ac:dyDescent="0.15">
      <c r="B184" s="40">
        <f t="shared" si="19"/>
        <v>177</v>
      </c>
      <c r="C184" s="113">
        <f>IF(B184&lt;=MIN(Simulation!$F$10*12+Simulation!$F$12*OR(Simulation!$F$11="Amortissable différé partiel",Simulation!$F$11="Amortissable différé total"),Simulation!$F$24*12),IF(AND(B184&lt;=Simulation!$F$12,OR(Simulation!$F$11="Amortissable différé partiel",Simulation!$F$11="Amortissable différé total")),C183*(1+(Simulation!$F$11="Amortissable différé total")*Simulation!$F$8/12),C183-D184),0)</f>
        <v>0</v>
      </c>
      <c r="D184" s="114">
        <f>IF(B184&lt;=MIN(Simulation!$F$10*12+Simulation!$F$12*OR(Simulation!$F$11="Amortissable différé partiel",Simulation!$F$11="Amortissable différé total"),Simulation!$F$24*12),G184-E184,0)</f>
        <v>0</v>
      </c>
      <c r="E184" s="114">
        <f>IF(B184&lt;=MIN(Simulation!$F$10*12+Simulation!$F$12*OR(Simulation!$F$11="Amortissable différé partiel",Simulation!$F$11="Amortissable différé total"),Simulation!$F$24*12),IF(AND(B184&lt;=Simulation!$F$12,Simulation!$F$11="Amortissable différé total"),0,C183*Simulation!$F$8/12),0)</f>
        <v>0</v>
      </c>
      <c r="F184" s="114">
        <f>IF(B184&lt;=MIN(Simulation!$F$10*12+Simulation!$F$12*OR(Simulation!$F$11="Amortissable différé partiel",Simulation!$F$11="Amortissable différé total"),Simulation!$F$24*12),Simulation!$E$33*Simulation!$F$9/12,0)</f>
        <v>0</v>
      </c>
      <c r="G184" s="115">
        <f>IF(B184&lt;=MIN(Simulation!$F$10*12+Simulation!$F$12*OR(Simulation!$F$11="Amortissable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partiel",IF(B184&lt;=Simulation!$F$12,Simulation!$E$33*Simulation!$F$8/12,PMT(Simulation!$F$8/12,Simulation!$F$10*12,-Simulation!$E$34)),IF(Simulation!$F$11="Amortissable différé total",IF(B184&lt;=Simulation!$F$12,0,PMT(Simulation!$F$8/12,Simulation!$F$10*12,-Simulation!$E$34)),IF(Simulation!$F$11="In fine",IF(B184=Simulation!$F$10*12,Simulation!$E$34,Simulation!$F$8*Simulation!$E$34/12),0)))),0)</f>
        <v>0</v>
      </c>
      <c r="H184" s="113">
        <f>Simulation!$C$16/12*(1+Simulation!$F$15)^INT((B184-1)/12)*(B184&lt;=Simulation!$F$24*12)</f>
        <v>0</v>
      </c>
      <c r="I184" s="114">
        <f>(Simulation!$F$22-VLOOKUP(Simulation!$C$27,'Comparatif fiscal'!$B$8:$E$17,4,FALSE)-C184)*(B184=Simulation!$F$24*12)</f>
        <v>0</v>
      </c>
      <c r="J184" s="114">
        <f>(Simulation!$C$21+Simulation!$C$22)/12*(1+Simulation!$F$17)^INT((B184-1)/12)*(B184&lt;=Simulation!$F$24*12)</f>
        <v>0</v>
      </c>
      <c r="K184" s="114">
        <f>(H184*Simulation!$C$24+Simulation!$C$23/12*(1+Simulation!$F$15)^INT((B184-1)/12))*(B184&lt;=Simulation!$F$24*12)</f>
        <v>0</v>
      </c>
      <c r="L184" s="114">
        <f>Simulation!$C$19/12*(1+Simulation!$F$18)^INT((B184-1)/12)*(B184&lt;=Simulation!$F$24*12)</f>
        <v>0</v>
      </c>
      <c r="M184" s="114">
        <f>(Simulation!$C$20/12*(1+Simulation!$F$19)^INT((B184-1)/12)+F184)*(B184&lt;=Simulation!$F$24*12)</f>
        <v>0</v>
      </c>
      <c r="N184" s="114">
        <f ca="1">SUMIF('Détail fiscalité'!$B$8:$B$37,INT(B184/12),'Détail fiscalité'!$CI$8:$CI$37)/12+SUMIF('Détail fiscalité'!$B$8:$B$37,B184/12,'Détail fiscalité'!$CI$8:$CI$37)-SUMIF('Détail fiscalité'!$B$8:$B$37,B184/12-1,'Détail fiscalité'!$CI$8:$CI$37)</f>
        <v>0</v>
      </c>
      <c r="O184" s="116">
        <f t="shared" ca="1" si="20"/>
        <v>0</v>
      </c>
    </row>
    <row r="185" spans="2:15" x14ac:dyDescent="0.15">
      <c r="B185" s="40">
        <f t="shared" si="19"/>
        <v>178</v>
      </c>
      <c r="C185" s="113">
        <f>IF(B185&lt;=MIN(Simulation!$F$10*12+Simulation!$F$12*OR(Simulation!$F$11="Amortissable différé partiel",Simulation!$F$11="Amortissable différé total"),Simulation!$F$24*12),IF(AND(B185&lt;=Simulation!$F$12,OR(Simulation!$F$11="Amortissable différé partiel",Simulation!$F$11="Amortissable différé total")),C184*(1+(Simulation!$F$11="Amortissable différé total")*Simulation!$F$8/12),C184-D185),0)</f>
        <v>0</v>
      </c>
      <c r="D185" s="114">
        <f>IF(B185&lt;=MIN(Simulation!$F$10*12+Simulation!$F$12*OR(Simulation!$F$11="Amortissable différé partiel",Simulation!$F$11="Amortissable différé total"),Simulation!$F$24*12),G185-E185,0)</f>
        <v>0</v>
      </c>
      <c r="E185" s="114">
        <f>IF(B185&lt;=MIN(Simulation!$F$10*12+Simulation!$F$12*OR(Simulation!$F$11="Amortissable différé partiel",Simulation!$F$11="Amortissable différé total"),Simulation!$F$24*12),IF(AND(B185&lt;=Simulation!$F$12,Simulation!$F$11="Amortissable différé total"),0,C184*Simulation!$F$8/12),0)</f>
        <v>0</v>
      </c>
      <c r="F185" s="114">
        <f>IF(B185&lt;=MIN(Simulation!$F$10*12+Simulation!$F$12*OR(Simulation!$F$11="Amortissable différé partiel",Simulation!$F$11="Amortissable différé total"),Simulation!$F$24*12),Simulation!$E$33*Simulation!$F$9/12,0)</f>
        <v>0</v>
      </c>
      <c r="G185" s="115">
        <f>IF(B185&lt;=MIN(Simulation!$F$10*12+Simulation!$F$12*OR(Simulation!$F$11="Amortissable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partiel",IF(B185&lt;=Simulation!$F$12,Simulation!$E$33*Simulation!$F$8/12,PMT(Simulation!$F$8/12,Simulation!$F$10*12,-Simulation!$E$34)),IF(Simulation!$F$11="Amortissable différé total",IF(B185&lt;=Simulation!$F$12,0,PMT(Simulation!$F$8/12,Simulation!$F$10*12,-Simulation!$E$34)),IF(Simulation!$F$11="In fine",IF(B185=Simulation!$F$10*12,Simulation!$E$34,Simulation!$F$8*Simulation!$E$34/12),0)))),0)</f>
        <v>0</v>
      </c>
      <c r="H185" s="113">
        <f>Simulation!$C$16/12*(1+Simulation!$F$15)^INT((B185-1)/12)*(B185&lt;=Simulation!$F$24*12)</f>
        <v>0</v>
      </c>
      <c r="I185" s="114">
        <f>(Simulation!$F$22-VLOOKUP(Simulation!$C$27,'Comparatif fiscal'!$B$8:$E$17,4,FALSE)-C185)*(B185=Simulation!$F$24*12)</f>
        <v>0</v>
      </c>
      <c r="J185" s="114">
        <f>(Simulation!$C$21+Simulation!$C$22)/12*(1+Simulation!$F$17)^INT((B185-1)/12)*(B185&lt;=Simulation!$F$24*12)</f>
        <v>0</v>
      </c>
      <c r="K185" s="114">
        <f>(H185*Simulation!$C$24+Simulation!$C$23/12*(1+Simulation!$F$15)^INT((B185-1)/12))*(B185&lt;=Simulation!$F$24*12)</f>
        <v>0</v>
      </c>
      <c r="L185" s="114">
        <f>Simulation!$C$19/12*(1+Simulation!$F$18)^INT((B185-1)/12)*(B185&lt;=Simulation!$F$24*12)</f>
        <v>0</v>
      </c>
      <c r="M185" s="114">
        <f>(Simulation!$C$20/12*(1+Simulation!$F$19)^INT((B185-1)/12)+F185)*(B185&lt;=Simulation!$F$24*12)</f>
        <v>0</v>
      </c>
      <c r="N185" s="114">
        <f ca="1">SUMIF('Détail fiscalité'!$B$8:$B$37,INT(B185/12),'Détail fiscalité'!$CI$8:$CI$37)/12+SUMIF('Détail fiscalité'!$B$8:$B$37,B185/12,'Détail fiscalité'!$CI$8:$CI$37)-SUMIF('Détail fiscalité'!$B$8:$B$37,B185/12-1,'Détail fiscalité'!$CI$8:$CI$37)</f>
        <v>0</v>
      </c>
      <c r="O185" s="116">
        <f t="shared" ca="1" si="20"/>
        <v>0</v>
      </c>
    </row>
    <row r="186" spans="2:15" x14ac:dyDescent="0.15">
      <c r="B186" s="40">
        <f t="shared" si="19"/>
        <v>179</v>
      </c>
      <c r="C186" s="113">
        <f>IF(B186&lt;=MIN(Simulation!$F$10*12+Simulation!$F$12*OR(Simulation!$F$11="Amortissable différé partiel",Simulation!$F$11="Amortissable différé total"),Simulation!$F$24*12),IF(AND(B186&lt;=Simulation!$F$12,OR(Simulation!$F$11="Amortissable différé partiel",Simulation!$F$11="Amortissable différé total")),C185*(1+(Simulation!$F$11="Amortissable différé total")*Simulation!$F$8/12),C185-D186),0)</f>
        <v>0</v>
      </c>
      <c r="D186" s="114">
        <f>IF(B186&lt;=MIN(Simulation!$F$10*12+Simulation!$F$12*OR(Simulation!$F$11="Amortissable différé partiel",Simulation!$F$11="Amortissable différé total"),Simulation!$F$24*12),G186-E186,0)</f>
        <v>0</v>
      </c>
      <c r="E186" s="114">
        <f>IF(B186&lt;=MIN(Simulation!$F$10*12+Simulation!$F$12*OR(Simulation!$F$11="Amortissable différé partiel",Simulation!$F$11="Amortissable différé total"),Simulation!$F$24*12),IF(AND(B186&lt;=Simulation!$F$12,Simulation!$F$11="Amortissable différé total"),0,C185*Simulation!$F$8/12),0)</f>
        <v>0</v>
      </c>
      <c r="F186" s="114">
        <f>IF(B186&lt;=MIN(Simulation!$F$10*12+Simulation!$F$12*OR(Simulation!$F$11="Amortissable différé partiel",Simulation!$F$11="Amortissable différé total"),Simulation!$F$24*12),Simulation!$E$33*Simulation!$F$9/12,0)</f>
        <v>0</v>
      </c>
      <c r="G186" s="115">
        <f>IF(B186&lt;=MIN(Simulation!$F$10*12+Simulation!$F$12*OR(Simulation!$F$11="Amortissable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partiel",IF(B186&lt;=Simulation!$F$12,Simulation!$E$33*Simulation!$F$8/12,PMT(Simulation!$F$8/12,Simulation!$F$10*12,-Simulation!$E$34)),IF(Simulation!$F$11="Amortissable différé total",IF(B186&lt;=Simulation!$F$12,0,PMT(Simulation!$F$8/12,Simulation!$F$10*12,-Simulation!$E$34)),IF(Simulation!$F$11="In fine",IF(B186=Simulation!$F$10*12,Simulation!$E$34,Simulation!$F$8*Simulation!$E$34/12),0)))),0)</f>
        <v>0</v>
      </c>
      <c r="H186" s="113">
        <f>Simulation!$C$16/12*(1+Simulation!$F$15)^INT((B186-1)/12)*(B186&lt;=Simulation!$F$24*12)</f>
        <v>0</v>
      </c>
      <c r="I186" s="114">
        <f>(Simulation!$F$22-VLOOKUP(Simulation!$C$27,'Comparatif fiscal'!$B$8:$E$17,4,FALSE)-C186)*(B186=Simulation!$F$24*12)</f>
        <v>0</v>
      </c>
      <c r="J186" s="114">
        <f>(Simulation!$C$21+Simulation!$C$22)/12*(1+Simulation!$F$17)^INT((B186-1)/12)*(B186&lt;=Simulation!$F$24*12)</f>
        <v>0</v>
      </c>
      <c r="K186" s="114">
        <f>(H186*Simulation!$C$24+Simulation!$C$23/12*(1+Simulation!$F$15)^INT((B186-1)/12))*(B186&lt;=Simulation!$F$24*12)</f>
        <v>0</v>
      </c>
      <c r="L186" s="114">
        <f>Simulation!$C$19/12*(1+Simulation!$F$18)^INT((B186-1)/12)*(B186&lt;=Simulation!$F$24*12)</f>
        <v>0</v>
      </c>
      <c r="M186" s="114">
        <f>(Simulation!$C$20/12*(1+Simulation!$F$19)^INT((B186-1)/12)+F186)*(B186&lt;=Simulation!$F$24*12)</f>
        <v>0</v>
      </c>
      <c r="N186" s="114">
        <f ca="1">SUMIF('Détail fiscalité'!$B$8:$B$37,INT(B186/12),'Détail fiscalité'!$CI$8:$CI$37)/12+SUMIF('Détail fiscalité'!$B$8:$B$37,B186/12,'Détail fiscalité'!$CI$8:$CI$37)-SUMIF('Détail fiscalité'!$B$8:$B$37,B186/12-1,'Détail fiscalité'!$CI$8:$CI$37)</f>
        <v>0</v>
      </c>
      <c r="O186" s="116">
        <f t="shared" ca="1" si="20"/>
        <v>0</v>
      </c>
    </row>
    <row r="187" spans="2:15" x14ac:dyDescent="0.15">
      <c r="B187" s="40">
        <f t="shared" si="19"/>
        <v>180</v>
      </c>
      <c r="C187" s="113">
        <f>IF(B187&lt;=MIN(Simulation!$F$10*12+Simulation!$F$12*OR(Simulation!$F$11="Amortissable différé partiel",Simulation!$F$11="Amortissable différé total"),Simulation!$F$24*12),IF(AND(B187&lt;=Simulation!$F$12,OR(Simulation!$F$11="Amortissable différé partiel",Simulation!$F$11="Amortissable différé total")),C186*(1+(Simulation!$F$11="Amortissable différé total")*Simulation!$F$8/12),C186-D187),0)</f>
        <v>0</v>
      </c>
      <c r="D187" s="114">
        <f>IF(B187&lt;=MIN(Simulation!$F$10*12+Simulation!$F$12*OR(Simulation!$F$11="Amortissable différé partiel",Simulation!$F$11="Amortissable différé total"),Simulation!$F$24*12),G187-E187,0)</f>
        <v>0</v>
      </c>
      <c r="E187" s="114">
        <f>IF(B187&lt;=MIN(Simulation!$F$10*12+Simulation!$F$12*OR(Simulation!$F$11="Amortissable différé partiel",Simulation!$F$11="Amortissable différé total"),Simulation!$F$24*12),IF(AND(B187&lt;=Simulation!$F$12,Simulation!$F$11="Amortissable différé total"),0,C186*Simulation!$F$8/12),0)</f>
        <v>0</v>
      </c>
      <c r="F187" s="114">
        <f>IF(B187&lt;=MIN(Simulation!$F$10*12+Simulation!$F$12*OR(Simulation!$F$11="Amortissable différé partiel",Simulation!$F$11="Amortissable différé total"),Simulation!$F$24*12),Simulation!$E$33*Simulation!$F$9/12,0)</f>
        <v>0</v>
      </c>
      <c r="G187" s="115">
        <f>IF(B187&lt;=MIN(Simulation!$F$10*12+Simulation!$F$12*OR(Simulation!$F$11="Amortissable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partiel",IF(B187&lt;=Simulation!$F$12,Simulation!$E$33*Simulation!$F$8/12,PMT(Simulation!$F$8/12,Simulation!$F$10*12,-Simulation!$E$34)),IF(Simulation!$F$11="Amortissable différé total",IF(B187&lt;=Simulation!$F$12,0,PMT(Simulation!$F$8/12,Simulation!$F$10*12,-Simulation!$E$34)),IF(Simulation!$F$11="In fine",IF(B187=Simulation!$F$10*12,Simulation!$E$34,Simulation!$F$8*Simulation!$E$34/12),0)))),0)</f>
        <v>0</v>
      </c>
      <c r="H187" s="113">
        <f>Simulation!$C$16/12*(1+Simulation!$F$15)^INT((B187-1)/12)*(B187&lt;=Simulation!$F$24*12)</f>
        <v>0</v>
      </c>
      <c r="I187" s="114">
        <f>(Simulation!$F$22-VLOOKUP(Simulation!$C$27,'Comparatif fiscal'!$B$8:$E$17,4,FALSE)-C187)*(B187=Simulation!$F$24*12)</f>
        <v>0</v>
      </c>
      <c r="J187" s="114">
        <f>(Simulation!$C$21+Simulation!$C$22)/12*(1+Simulation!$F$17)^INT((B187-1)/12)*(B187&lt;=Simulation!$F$24*12)</f>
        <v>0</v>
      </c>
      <c r="K187" s="114">
        <f>(H187*Simulation!$C$24+Simulation!$C$23/12*(1+Simulation!$F$15)^INT((B187-1)/12))*(B187&lt;=Simulation!$F$24*12)</f>
        <v>0</v>
      </c>
      <c r="L187" s="114">
        <f>Simulation!$C$19/12*(1+Simulation!$F$18)^INT((B187-1)/12)*(B187&lt;=Simulation!$F$24*12)</f>
        <v>0</v>
      </c>
      <c r="M187" s="114">
        <f>(Simulation!$C$20/12*(1+Simulation!$F$19)^INT((B187-1)/12)+F187)*(B187&lt;=Simulation!$F$24*12)</f>
        <v>0</v>
      </c>
      <c r="N187" s="114">
        <f ca="1">SUMIF('Détail fiscalité'!$B$8:$B$37,INT(B187/12),'Détail fiscalité'!$CI$8:$CI$37)/12+SUMIF('Détail fiscalité'!$B$8:$B$37,B187/12,'Détail fiscalité'!$CI$8:$CI$37)-SUMIF('Détail fiscalité'!$B$8:$B$37,B187/12-1,'Détail fiscalité'!$CI$8:$CI$37)</f>
        <v>0</v>
      </c>
      <c r="O187" s="116">
        <f t="shared" ca="1" si="20"/>
        <v>0</v>
      </c>
    </row>
    <row r="188" spans="2:15" x14ac:dyDescent="0.15">
      <c r="B188" s="40">
        <f t="shared" si="19"/>
        <v>181</v>
      </c>
      <c r="C188" s="113">
        <f>IF(B188&lt;=MIN(Simulation!$F$10*12+Simulation!$F$12*OR(Simulation!$F$11="Amortissable différé partiel",Simulation!$F$11="Amortissable différé total"),Simulation!$F$24*12),IF(AND(B188&lt;=Simulation!$F$12,OR(Simulation!$F$11="Amortissable différé partiel",Simulation!$F$11="Amortissable différé total")),C187*(1+(Simulation!$F$11="Amortissable différé total")*Simulation!$F$8/12),C187-D188),0)</f>
        <v>0</v>
      </c>
      <c r="D188" s="114">
        <f>IF(B188&lt;=MIN(Simulation!$F$10*12+Simulation!$F$12*OR(Simulation!$F$11="Amortissable différé partiel",Simulation!$F$11="Amortissable différé total"),Simulation!$F$24*12),G188-E188,0)</f>
        <v>0</v>
      </c>
      <c r="E188" s="114">
        <f>IF(B188&lt;=MIN(Simulation!$F$10*12+Simulation!$F$12*OR(Simulation!$F$11="Amortissable différé partiel",Simulation!$F$11="Amortissable différé total"),Simulation!$F$24*12),IF(AND(B188&lt;=Simulation!$F$12,Simulation!$F$11="Amortissable différé total"),0,C187*Simulation!$F$8/12),0)</f>
        <v>0</v>
      </c>
      <c r="F188" s="114">
        <f>IF(B188&lt;=MIN(Simulation!$F$10*12+Simulation!$F$12*OR(Simulation!$F$11="Amortissable différé partiel",Simulation!$F$11="Amortissable différé total"),Simulation!$F$24*12),Simulation!$E$33*Simulation!$F$9/12,0)</f>
        <v>0</v>
      </c>
      <c r="G188" s="115">
        <f>IF(B188&lt;=MIN(Simulation!$F$10*12+Simulation!$F$12*OR(Simulation!$F$11="Amortissable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partiel",IF(B188&lt;=Simulation!$F$12,Simulation!$E$33*Simulation!$F$8/12,PMT(Simulation!$F$8/12,Simulation!$F$10*12,-Simulation!$E$34)),IF(Simulation!$F$11="Amortissable différé total",IF(B188&lt;=Simulation!$F$12,0,PMT(Simulation!$F$8/12,Simulation!$F$10*12,-Simulation!$E$34)),IF(Simulation!$F$11="In fine",IF(B188=Simulation!$F$10*12,Simulation!$E$34,Simulation!$F$8*Simulation!$E$34/12),0)))),0)</f>
        <v>0</v>
      </c>
      <c r="H188" s="113">
        <f>Simulation!$C$16/12*(1+Simulation!$F$15)^INT((B188-1)/12)*(B188&lt;=Simulation!$F$24*12)</f>
        <v>0</v>
      </c>
      <c r="I188" s="114">
        <f>(Simulation!$F$22-VLOOKUP(Simulation!$C$27,'Comparatif fiscal'!$B$8:$E$17,4,FALSE)-C188)*(B188=Simulation!$F$24*12)</f>
        <v>0</v>
      </c>
      <c r="J188" s="114">
        <f>(Simulation!$C$21+Simulation!$C$22)/12*(1+Simulation!$F$17)^INT((B188-1)/12)*(B188&lt;=Simulation!$F$24*12)</f>
        <v>0</v>
      </c>
      <c r="K188" s="114">
        <f>(H188*Simulation!$C$24+Simulation!$C$23/12*(1+Simulation!$F$15)^INT((B188-1)/12))*(B188&lt;=Simulation!$F$24*12)</f>
        <v>0</v>
      </c>
      <c r="L188" s="114">
        <f>Simulation!$C$19/12*(1+Simulation!$F$18)^INT((B188-1)/12)*(B188&lt;=Simulation!$F$24*12)</f>
        <v>0</v>
      </c>
      <c r="M188" s="114">
        <f>(Simulation!$C$20/12*(1+Simulation!$F$19)^INT((B188-1)/12)+F188)*(B188&lt;=Simulation!$F$24*12)</f>
        <v>0</v>
      </c>
      <c r="N188" s="114">
        <f ca="1">SUMIF('Détail fiscalité'!$B$8:$B$37,INT(B188/12),'Détail fiscalité'!$CI$8:$CI$37)/12+SUMIF('Détail fiscalité'!$B$8:$B$37,B188/12,'Détail fiscalité'!$CI$8:$CI$37)-SUMIF('Détail fiscalité'!$B$8:$B$37,B188/12-1,'Détail fiscalité'!$CI$8:$CI$37)</f>
        <v>0</v>
      </c>
      <c r="O188" s="116">
        <f t="shared" ca="1" si="20"/>
        <v>0</v>
      </c>
    </row>
    <row r="189" spans="2:15" x14ac:dyDescent="0.15">
      <c r="B189" s="40">
        <f t="shared" si="19"/>
        <v>182</v>
      </c>
      <c r="C189" s="113">
        <f>IF(B189&lt;=MIN(Simulation!$F$10*12+Simulation!$F$12*OR(Simulation!$F$11="Amortissable différé partiel",Simulation!$F$11="Amortissable différé total"),Simulation!$F$24*12),IF(AND(B189&lt;=Simulation!$F$12,OR(Simulation!$F$11="Amortissable différé partiel",Simulation!$F$11="Amortissable différé total")),C188*(1+(Simulation!$F$11="Amortissable différé total")*Simulation!$F$8/12),C188-D189),0)</f>
        <v>0</v>
      </c>
      <c r="D189" s="114">
        <f>IF(B189&lt;=MIN(Simulation!$F$10*12+Simulation!$F$12*OR(Simulation!$F$11="Amortissable différé partiel",Simulation!$F$11="Amortissable différé total"),Simulation!$F$24*12),G189-E189,0)</f>
        <v>0</v>
      </c>
      <c r="E189" s="114">
        <f>IF(B189&lt;=MIN(Simulation!$F$10*12+Simulation!$F$12*OR(Simulation!$F$11="Amortissable différé partiel",Simulation!$F$11="Amortissable différé total"),Simulation!$F$24*12),IF(AND(B189&lt;=Simulation!$F$12,Simulation!$F$11="Amortissable différé total"),0,C188*Simulation!$F$8/12),0)</f>
        <v>0</v>
      </c>
      <c r="F189" s="114">
        <f>IF(B189&lt;=MIN(Simulation!$F$10*12+Simulation!$F$12*OR(Simulation!$F$11="Amortissable différé partiel",Simulation!$F$11="Amortissable différé total"),Simulation!$F$24*12),Simulation!$E$33*Simulation!$F$9/12,0)</f>
        <v>0</v>
      </c>
      <c r="G189" s="115">
        <f>IF(B189&lt;=MIN(Simulation!$F$10*12+Simulation!$F$12*OR(Simulation!$F$11="Amortissable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partiel",IF(B189&lt;=Simulation!$F$12,Simulation!$E$33*Simulation!$F$8/12,PMT(Simulation!$F$8/12,Simulation!$F$10*12,-Simulation!$E$34)),IF(Simulation!$F$11="Amortissable différé total",IF(B189&lt;=Simulation!$F$12,0,PMT(Simulation!$F$8/12,Simulation!$F$10*12,-Simulation!$E$34)),IF(Simulation!$F$11="In fine",IF(B189=Simulation!$F$10*12,Simulation!$E$34,Simulation!$F$8*Simulation!$E$34/12),0)))),0)</f>
        <v>0</v>
      </c>
      <c r="H189" s="113">
        <f>Simulation!$C$16/12*(1+Simulation!$F$15)^INT((B189-1)/12)*(B189&lt;=Simulation!$F$24*12)</f>
        <v>0</v>
      </c>
      <c r="I189" s="114">
        <f>(Simulation!$F$22-VLOOKUP(Simulation!$C$27,'Comparatif fiscal'!$B$8:$E$17,4,FALSE)-C189)*(B189=Simulation!$F$24*12)</f>
        <v>0</v>
      </c>
      <c r="J189" s="114">
        <f>(Simulation!$C$21+Simulation!$C$22)/12*(1+Simulation!$F$17)^INT((B189-1)/12)*(B189&lt;=Simulation!$F$24*12)</f>
        <v>0</v>
      </c>
      <c r="K189" s="114">
        <f>(H189*Simulation!$C$24+Simulation!$C$23/12*(1+Simulation!$F$15)^INT((B189-1)/12))*(B189&lt;=Simulation!$F$24*12)</f>
        <v>0</v>
      </c>
      <c r="L189" s="114">
        <f>Simulation!$C$19/12*(1+Simulation!$F$18)^INT((B189-1)/12)*(B189&lt;=Simulation!$F$24*12)</f>
        <v>0</v>
      </c>
      <c r="M189" s="114">
        <f>(Simulation!$C$20/12*(1+Simulation!$F$19)^INT((B189-1)/12)+F189)*(B189&lt;=Simulation!$F$24*12)</f>
        <v>0</v>
      </c>
      <c r="N189" s="114">
        <f ca="1">SUMIF('Détail fiscalité'!$B$8:$B$37,INT(B189/12),'Détail fiscalité'!$CI$8:$CI$37)/12+SUMIF('Détail fiscalité'!$B$8:$B$37,B189/12,'Détail fiscalité'!$CI$8:$CI$37)-SUMIF('Détail fiscalité'!$B$8:$B$37,B189/12-1,'Détail fiscalité'!$CI$8:$CI$37)</f>
        <v>0</v>
      </c>
      <c r="O189" s="116">
        <f t="shared" ca="1" si="20"/>
        <v>0</v>
      </c>
    </row>
    <row r="190" spans="2:15" x14ac:dyDescent="0.15">
      <c r="B190" s="40">
        <f t="shared" si="19"/>
        <v>183</v>
      </c>
      <c r="C190" s="113">
        <f>IF(B190&lt;=MIN(Simulation!$F$10*12+Simulation!$F$12*OR(Simulation!$F$11="Amortissable différé partiel",Simulation!$F$11="Amortissable différé total"),Simulation!$F$24*12),IF(AND(B190&lt;=Simulation!$F$12,OR(Simulation!$F$11="Amortissable différé partiel",Simulation!$F$11="Amortissable différé total")),C189*(1+(Simulation!$F$11="Amortissable différé total")*Simulation!$F$8/12),C189-D190),0)</f>
        <v>0</v>
      </c>
      <c r="D190" s="114">
        <f>IF(B190&lt;=MIN(Simulation!$F$10*12+Simulation!$F$12*OR(Simulation!$F$11="Amortissable différé partiel",Simulation!$F$11="Amortissable différé total"),Simulation!$F$24*12),G190-E190,0)</f>
        <v>0</v>
      </c>
      <c r="E190" s="114">
        <f>IF(B190&lt;=MIN(Simulation!$F$10*12+Simulation!$F$12*OR(Simulation!$F$11="Amortissable différé partiel",Simulation!$F$11="Amortissable différé total"),Simulation!$F$24*12),IF(AND(B190&lt;=Simulation!$F$12,Simulation!$F$11="Amortissable différé total"),0,C189*Simulation!$F$8/12),0)</f>
        <v>0</v>
      </c>
      <c r="F190" s="114">
        <f>IF(B190&lt;=MIN(Simulation!$F$10*12+Simulation!$F$12*OR(Simulation!$F$11="Amortissable différé partiel",Simulation!$F$11="Amortissable différé total"),Simulation!$F$24*12),Simulation!$E$33*Simulation!$F$9/12,0)</f>
        <v>0</v>
      </c>
      <c r="G190" s="115">
        <f>IF(B190&lt;=MIN(Simulation!$F$10*12+Simulation!$F$12*OR(Simulation!$F$11="Amortissable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partiel",IF(B190&lt;=Simulation!$F$12,Simulation!$E$33*Simulation!$F$8/12,PMT(Simulation!$F$8/12,Simulation!$F$10*12,-Simulation!$E$34)),IF(Simulation!$F$11="Amortissable différé total",IF(B190&lt;=Simulation!$F$12,0,PMT(Simulation!$F$8/12,Simulation!$F$10*12,-Simulation!$E$34)),IF(Simulation!$F$11="In fine",IF(B190=Simulation!$F$10*12,Simulation!$E$34,Simulation!$F$8*Simulation!$E$34/12),0)))),0)</f>
        <v>0</v>
      </c>
      <c r="H190" s="113">
        <f>Simulation!$C$16/12*(1+Simulation!$F$15)^INT((B190-1)/12)*(B190&lt;=Simulation!$F$24*12)</f>
        <v>0</v>
      </c>
      <c r="I190" s="114">
        <f>(Simulation!$F$22-VLOOKUP(Simulation!$C$27,'Comparatif fiscal'!$B$8:$E$17,4,FALSE)-C190)*(B190=Simulation!$F$24*12)</f>
        <v>0</v>
      </c>
      <c r="J190" s="114">
        <f>(Simulation!$C$21+Simulation!$C$22)/12*(1+Simulation!$F$17)^INT((B190-1)/12)*(B190&lt;=Simulation!$F$24*12)</f>
        <v>0</v>
      </c>
      <c r="K190" s="114">
        <f>(H190*Simulation!$C$24+Simulation!$C$23/12*(1+Simulation!$F$15)^INT((B190-1)/12))*(B190&lt;=Simulation!$F$24*12)</f>
        <v>0</v>
      </c>
      <c r="L190" s="114">
        <f>Simulation!$C$19/12*(1+Simulation!$F$18)^INT((B190-1)/12)*(B190&lt;=Simulation!$F$24*12)</f>
        <v>0</v>
      </c>
      <c r="M190" s="114">
        <f>(Simulation!$C$20/12*(1+Simulation!$F$19)^INT((B190-1)/12)+F190)*(B190&lt;=Simulation!$F$24*12)</f>
        <v>0</v>
      </c>
      <c r="N190" s="114">
        <f ca="1">SUMIF('Détail fiscalité'!$B$8:$B$37,INT(B190/12),'Détail fiscalité'!$CI$8:$CI$37)/12+SUMIF('Détail fiscalité'!$B$8:$B$37,B190/12,'Détail fiscalité'!$CI$8:$CI$37)-SUMIF('Détail fiscalité'!$B$8:$B$37,B190/12-1,'Détail fiscalité'!$CI$8:$CI$37)</f>
        <v>0</v>
      </c>
      <c r="O190" s="116">
        <f t="shared" ca="1" si="20"/>
        <v>0</v>
      </c>
    </row>
    <row r="191" spans="2:15" x14ac:dyDescent="0.15">
      <c r="B191" s="40">
        <f t="shared" si="19"/>
        <v>184</v>
      </c>
      <c r="C191" s="113">
        <f>IF(B191&lt;=MIN(Simulation!$F$10*12+Simulation!$F$12*OR(Simulation!$F$11="Amortissable différé partiel",Simulation!$F$11="Amortissable différé total"),Simulation!$F$24*12),IF(AND(B191&lt;=Simulation!$F$12,OR(Simulation!$F$11="Amortissable différé partiel",Simulation!$F$11="Amortissable différé total")),C190*(1+(Simulation!$F$11="Amortissable différé total")*Simulation!$F$8/12),C190-D191),0)</f>
        <v>0</v>
      </c>
      <c r="D191" s="114">
        <f>IF(B191&lt;=MIN(Simulation!$F$10*12+Simulation!$F$12*OR(Simulation!$F$11="Amortissable différé partiel",Simulation!$F$11="Amortissable différé total"),Simulation!$F$24*12),G191-E191,0)</f>
        <v>0</v>
      </c>
      <c r="E191" s="114">
        <f>IF(B191&lt;=MIN(Simulation!$F$10*12+Simulation!$F$12*OR(Simulation!$F$11="Amortissable différé partiel",Simulation!$F$11="Amortissable différé total"),Simulation!$F$24*12),IF(AND(B191&lt;=Simulation!$F$12,Simulation!$F$11="Amortissable différé total"),0,C190*Simulation!$F$8/12),0)</f>
        <v>0</v>
      </c>
      <c r="F191" s="114">
        <f>IF(B191&lt;=MIN(Simulation!$F$10*12+Simulation!$F$12*OR(Simulation!$F$11="Amortissable différé partiel",Simulation!$F$11="Amortissable différé total"),Simulation!$F$24*12),Simulation!$E$33*Simulation!$F$9/12,0)</f>
        <v>0</v>
      </c>
      <c r="G191" s="115">
        <f>IF(B191&lt;=MIN(Simulation!$F$10*12+Simulation!$F$12*OR(Simulation!$F$11="Amortissable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partiel",IF(B191&lt;=Simulation!$F$12,Simulation!$E$33*Simulation!$F$8/12,PMT(Simulation!$F$8/12,Simulation!$F$10*12,-Simulation!$E$34)),IF(Simulation!$F$11="Amortissable différé total",IF(B191&lt;=Simulation!$F$12,0,PMT(Simulation!$F$8/12,Simulation!$F$10*12,-Simulation!$E$34)),IF(Simulation!$F$11="In fine",IF(B191=Simulation!$F$10*12,Simulation!$E$34,Simulation!$F$8*Simulation!$E$34/12),0)))),0)</f>
        <v>0</v>
      </c>
      <c r="H191" s="113">
        <f>Simulation!$C$16/12*(1+Simulation!$F$15)^INT((B191-1)/12)*(B191&lt;=Simulation!$F$24*12)</f>
        <v>0</v>
      </c>
      <c r="I191" s="114">
        <f>(Simulation!$F$22-VLOOKUP(Simulation!$C$27,'Comparatif fiscal'!$B$8:$E$17,4,FALSE)-C191)*(B191=Simulation!$F$24*12)</f>
        <v>0</v>
      </c>
      <c r="J191" s="114">
        <f>(Simulation!$C$21+Simulation!$C$22)/12*(1+Simulation!$F$17)^INT((B191-1)/12)*(B191&lt;=Simulation!$F$24*12)</f>
        <v>0</v>
      </c>
      <c r="K191" s="114">
        <f>(H191*Simulation!$C$24+Simulation!$C$23/12*(1+Simulation!$F$15)^INT((B191-1)/12))*(B191&lt;=Simulation!$F$24*12)</f>
        <v>0</v>
      </c>
      <c r="L191" s="114">
        <f>Simulation!$C$19/12*(1+Simulation!$F$18)^INT((B191-1)/12)*(B191&lt;=Simulation!$F$24*12)</f>
        <v>0</v>
      </c>
      <c r="M191" s="114">
        <f>(Simulation!$C$20/12*(1+Simulation!$F$19)^INT((B191-1)/12)+F191)*(B191&lt;=Simulation!$F$24*12)</f>
        <v>0</v>
      </c>
      <c r="N191" s="114">
        <f ca="1">SUMIF('Détail fiscalité'!$B$8:$B$37,INT(B191/12),'Détail fiscalité'!$CI$8:$CI$37)/12+SUMIF('Détail fiscalité'!$B$8:$B$37,B191/12,'Détail fiscalité'!$CI$8:$CI$37)-SUMIF('Détail fiscalité'!$B$8:$B$37,B191/12-1,'Détail fiscalité'!$CI$8:$CI$37)</f>
        <v>0</v>
      </c>
      <c r="O191" s="116">
        <f t="shared" ca="1" si="20"/>
        <v>0</v>
      </c>
    </row>
    <row r="192" spans="2:15" x14ac:dyDescent="0.15">
      <c r="B192" s="40">
        <f t="shared" si="19"/>
        <v>185</v>
      </c>
      <c r="C192" s="113">
        <f>IF(B192&lt;=MIN(Simulation!$F$10*12+Simulation!$F$12*OR(Simulation!$F$11="Amortissable différé partiel",Simulation!$F$11="Amortissable différé total"),Simulation!$F$24*12),IF(AND(B192&lt;=Simulation!$F$12,OR(Simulation!$F$11="Amortissable différé partiel",Simulation!$F$11="Amortissable différé total")),C191*(1+(Simulation!$F$11="Amortissable différé total")*Simulation!$F$8/12),C191-D192),0)</f>
        <v>0</v>
      </c>
      <c r="D192" s="114">
        <f>IF(B192&lt;=MIN(Simulation!$F$10*12+Simulation!$F$12*OR(Simulation!$F$11="Amortissable différé partiel",Simulation!$F$11="Amortissable différé total"),Simulation!$F$24*12),G192-E192,0)</f>
        <v>0</v>
      </c>
      <c r="E192" s="114">
        <f>IF(B192&lt;=MIN(Simulation!$F$10*12+Simulation!$F$12*OR(Simulation!$F$11="Amortissable différé partiel",Simulation!$F$11="Amortissable différé total"),Simulation!$F$24*12),IF(AND(B192&lt;=Simulation!$F$12,Simulation!$F$11="Amortissable différé total"),0,C191*Simulation!$F$8/12),0)</f>
        <v>0</v>
      </c>
      <c r="F192" s="114">
        <f>IF(B192&lt;=MIN(Simulation!$F$10*12+Simulation!$F$12*OR(Simulation!$F$11="Amortissable différé partiel",Simulation!$F$11="Amortissable différé total"),Simulation!$F$24*12),Simulation!$E$33*Simulation!$F$9/12,0)</f>
        <v>0</v>
      </c>
      <c r="G192" s="115">
        <f>IF(B192&lt;=MIN(Simulation!$F$10*12+Simulation!$F$12*OR(Simulation!$F$11="Amortissable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partiel",IF(B192&lt;=Simulation!$F$12,Simulation!$E$33*Simulation!$F$8/12,PMT(Simulation!$F$8/12,Simulation!$F$10*12,-Simulation!$E$34)),IF(Simulation!$F$11="Amortissable différé total",IF(B192&lt;=Simulation!$F$12,0,PMT(Simulation!$F$8/12,Simulation!$F$10*12,-Simulation!$E$34)),IF(Simulation!$F$11="In fine",IF(B192=Simulation!$F$10*12,Simulation!$E$34,Simulation!$F$8*Simulation!$E$34/12),0)))),0)</f>
        <v>0</v>
      </c>
      <c r="H192" s="113">
        <f>Simulation!$C$16/12*(1+Simulation!$F$15)^INT((B192-1)/12)*(B192&lt;=Simulation!$F$24*12)</f>
        <v>0</v>
      </c>
      <c r="I192" s="114">
        <f>(Simulation!$F$22-VLOOKUP(Simulation!$C$27,'Comparatif fiscal'!$B$8:$E$17,4,FALSE)-C192)*(B192=Simulation!$F$24*12)</f>
        <v>0</v>
      </c>
      <c r="J192" s="114">
        <f>(Simulation!$C$21+Simulation!$C$22)/12*(1+Simulation!$F$17)^INT((B192-1)/12)*(B192&lt;=Simulation!$F$24*12)</f>
        <v>0</v>
      </c>
      <c r="K192" s="114">
        <f>(H192*Simulation!$C$24+Simulation!$C$23/12*(1+Simulation!$F$15)^INT((B192-1)/12))*(B192&lt;=Simulation!$F$24*12)</f>
        <v>0</v>
      </c>
      <c r="L192" s="114">
        <f>Simulation!$C$19/12*(1+Simulation!$F$18)^INT((B192-1)/12)*(B192&lt;=Simulation!$F$24*12)</f>
        <v>0</v>
      </c>
      <c r="M192" s="114">
        <f>(Simulation!$C$20/12*(1+Simulation!$F$19)^INT((B192-1)/12)+F192)*(B192&lt;=Simulation!$F$24*12)</f>
        <v>0</v>
      </c>
      <c r="N192" s="114">
        <f ca="1">SUMIF('Détail fiscalité'!$B$8:$B$37,INT(B192/12),'Détail fiscalité'!$CI$8:$CI$37)/12+SUMIF('Détail fiscalité'!$B$8:$B$37,B192/12,'Détail fiscalité'!$CI$8:$CI$37)-SUMIF('Détail fiscalité'!$B$8:$B$37,B192/12-1,'Détail fiscalité'!$CI$8:$CI$37)</f>
        <v>0</v>
      </c>
      <c r="O192" s="116">
        <f t="shared" ca="1" si="20"/>
        <v>0</v>
      </c>
    </row>
    <row r="193" spans="2:15" x14ac:dyDescent="0.15">
      <c r="B193" s="40">
        <f t="shared" si="19"/>
        <v>186</v>
      </c>
      <c r="C193" s="113">
        <f>IF(B193&lt;=MIN(Simulation!$F$10*12+Simulation!$F$12*OR(Simulation!$F$11="Amortissable différé partiel",Simulation!$F$11="Amortissable différé total"),Simulation!$F$24*12),IF(AND(B193&lt;=Simulation!$F$12,OR(Simulation!$F$11="Amortissable différé partiel",Simulation!$F$11="Amortissable différé total")),C192*(1+(Simulation!$F$11="Amortissable différé total")*Simulation!$F$8/12),C192-D193),0)</f>
        <v>0</v>
      </c>
      <c r="D193" s="114">
        <f>IF(B193&lt;=MIN(Simulation!$F$10*12+Simulation!$F$12*OR(Simulation!$F$11="Amortissable différé partiel",Simulation!$F$11="Amortissable différé total"),Simulation!$F$24*12),G193-E193,0)</f>
        <v>0</v>
      </c>
      <c r="E193" s="114">
        <f>IF(B193&lt;=MIN(Simulation!$F$10*12+Simulation!$F$12*OR(Simulation!$F$11="Amortissable différé partiel",Simulation!$F$11="Amortissable différé total"),Simulation!$F$24*12),IF(AND(B193&lt;=Simulation!$F$12,Simulation!$F$11="Amortissable différé total"),0,C192*Simulation!$F$8/12),0)</f>
        <v>0</v>
      </c>
      <c r="F193" s="114">
        <f>IF(B193&lt;=MIN(Simulation!$F$10*12+Simulation!$F$12*OR(Simulation!$F$11="Amortissable différé partiel",Simulation!$F$11="Amortissable différé total"),Simulation!$F$24*12),Simulation!$E$33*Simulation!$F$9/12,0)</f>
        <v>0</v>
      </c>
      <c r="G193" s="115">
        <f>IF(B193&lt;=MIN(Simulation!$F$10*12+Simulation!$F$12*OR(Simulation!$F$11="Amortissable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partiel",IF(B193&lt;=Simulation!$F$12,Simulation!$E$33*Simulation!$F$8/12,PMT(Simulation!$F$8/12,Simulation!$F$10*12,-Simulation!$E$34)),IF(Simulation!$F$11="Amortissable différé total",IF(B193&lt;=Simulation!$F$12,0,PMT(Simulation!$F$8/12,Simulation!$F$10*12,-Simulation!$E$34)),IF(Simulation!$F$11="In fine",IF(B193=Simulation!$F$10*12,Simulation!$E$34,Simulation!$F$8*Simulation!$E$34/12),0)))),0)</f>
        <v>0</v>
      </c>
      <c r="H193" s="113">
        <f>Simulation!$C$16/12*(1+Simulation!$F$15)^INT((B193-1)/12)*(B193&lt;=Simulation!$F$24*12)</f>
        <v>0</v>
      </c>
      <c r="I193" s="114">
        <f>(Simulation!$F$22-VLOOKUP(Simulation!$C$27,'Comparatif fiscal'!$B$8:$E$17,4,FALSE)-C193)*(B193=Simulation!$F$24*12)</f>
        <v>0</v>
      </c>
      <c r="J193" s="114">
        <f>(Simulation!$C$21+Simulation!$C$22)/12*(1+Simulation!$F$17)^INT((B193-1)/12)*(B193&lt;=Simulation!$F$24*12)</f>
        <v>0</v>
      </c>
      <c r="K193" s="114">
        <f>(H193*Simulation!$C$24+Simulation!$C$23/12*(1+Simulation!$F$15)^INT((B193-1)/12))*(B193&lt;=Simulation!$F$24*12)</f>
        <v>0</v>
      </c>
      <c r="L193" s="114">
        <f>Simulation!$C$19/12*(1+Simulation!$F$18)^INT((B193-1)/12)*(B193&lt;=Simulation!$F$24*12)</f>
        <v>0</v>
      </c>
      <c r="M193" s="114">
        <f>(Simulation!$C$20/12*(1+Simulation!$F$19)^INT((B193-1)/12)+F193)*(B193&lt;=Simulation!$F$24*12)</f>
        <v>0</v>
      </c>
      <c r="N193" s="114">
        <f ca="1">SUMIF('Détail fiscalité'!$B$8:$B$37,INT(B193/12),'Détail fiscalité'!$CI$8:$CI$37)/12+SUMIF('Détail fiscalité'!$B$8:$B$37,B193/12,'Détail fiscalité'!$CI$8:$CI$37)-SUMIF('Détail fiscalité'!$B$8:$B$37,B193/12-1,'Détail fiscalité'!$CI$8:$CI$37)</f>
        <v>0</v>
      </c>
      <c r="O193" s="116">
        <f t="shared" ca="1" si="20"/>
        <v>0</v>
      </c>
    </row>
    <row r="194" spans="2:15" x14ac:dyDescent="0.15">
      <c r="B194" s="40">
        <f t="shared" si="19"/>
        <v>187</v>
      </c>
      <c r="C194" s="113">
        <f>IF(B194&lt;=MIN(Simulation!$F$10*12+Simulation!$F$12*OR(Simulation!$F$11="Amortissable différé partiel",Simulation!$F$11="Amortissable différé total"),Simulation!$F$24*12),IF(AND(B194&lt;=Simulation!$F$12,OR(Simulation!$F$11="Amortissable différé partiel",Simulation!$F$11="Amortissable différé total")),C193*(1+(Simulation!$F$11="Amortissable différé total")*Simulation!$F$8/12),C193-D194),0)</f>
        <v>0</v>
      </c>
      <c r="D194" s="114">
        <f>IF(B194&lt;=MIN(Simulation!$F$10*12+Simulation!$F$12*OR(Simulation!$F$11="Amortissable différé partiel",Simulation!$F$11="Amortissable différé total"),Simulation!$F$24*12),G194-E194,0)</f>
        <v>0</v>
      </c>
      <c r="E194" s="114">
        <f>IF(B194&lt;=MIN(Simulation!$F$10*12+Simulation!$F$12*OR(Simulation!$F$11="Amortissable différé partiel",Simulation!$F$11="Amortissable différé total"),Simulation!$F$24*12),IF(AND(B194&lt;=Simulation!$F$12,Simulation!$F$11="Amortissable différé total"),0,C193*Simulation!$F$8/12),0)</f>
        <v>0</v>
      </c>
      <c r="F194" s="114">
        <f>IF(B194&lt;=MIN(Simulation!$F$10*12+Simulation!$F$12*OR(Simulation!$F$11="Amortissable différé partiel",Simulation!$F$11="Amortissable différé total"),Simulation!$F$24*12),Simulation!$E$33*Simulation!$F$9/12,0)</f>
        <v>0</v>
      </c>
      <c r="G194" s="115">
        <f>IF(B194&lt;=MIN(Simulation!$F$10*12+Simulation!$F$12*OR(Simulation!$F$11="Amortissable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partiel",IF(B194&lt;=Simulation!$F$12,Simulation!$E$33*Simulation!$F$8/12,PMT(Simulation!$F$8/12,Simulation!$F$10*12,-Simulation!$E$34)),IF(Simulation!$F$11="Amortissable différé total",IF(B194&lt;=Simulation!$F$12,0,PMT(Simulation!$F$8/12,Simulation!$F$10*12,-Simulation!$E$34)),IF(Simulation!$F$11="In fine",IF(B194=Simulation!$F$10*12,Simulation!$E$34,Simulation!$F$8*Simulation!$E$34/12),0)))),0)</f>
        <v>0</v>
      </c>
      <c r="H194" s="113">
        <f>Simulation!$C$16/12*(1+Simulation!$F$15)^INT((B194-1)/12)*(B194&lt;=Simulation!$F$24*12)</f>
        <v>0</v>
      </c>
      <c r="I194" s="114">
        <f>(Simulation!$F$22-VLOOKUP(Simulation!$C$27,'Comparatif fiscal'!$B$8:$E$17,4,FALSE)-C194)*(B194=Simulation!$F$24*12)</f>
        <v>0</v>
      </c>
      <c r="J194" s="114">
        <f>(Simulation!$C$21+Simulation!$C$22)/12*(1+Simulation!$F$17)^INT((B194-1)/12)*(B194&lt;=Simulation!$F$24*12)</f>
        <v>0</v>
      </c>
      <c r="K194" s="114">
        <f>(H194*Simulation!$C$24+Simulation!$C$23/12*(1+Simulation!$F$15)^INT((B194-1)/12))*(B194&lt;=Simulation!$F$24*12)</f>
        <v>0</v>
      </c>
      <c r="L194" s="114">
        <f>Simulation!$C$19/12*(1+Simulation!$F$18)^INT((B194-1)/12)*(B194&lt;=Simulation!$F$24*12)</f>
        <v>0</v>
      </c>
      <c r="M194" s="114">
        <f>(Simulation!$C$20/12*(1+Simulation!$F$19)^INT((B194-1)/12)+F194)*(B194&lt;=Simulation!$F$24*12)</f>
        <v>0</v>
      </c>
      <c r="N194" s="114">
        <f ca="1">SUMIF('Détail fiscalité'!$B$8:$B$37,INT(B194/12),'Détail fiscalité'!$CI$8:$CI$37)/12+SUMIF('Détail fiscalité'!$B$8:$B$37,B194/12,'Détail fiscalité'!$CI$8:$CI$37)-SUMIF('Détail fiscalité'!$B$8:$B$37,B194/12-1,'Détail fiscalité'!$CI$8:$CI$37)</f>
        <v>0</v>
      </c>
      <c r="O194" s="116">
        <f t="shared" ca="1" si="20"/>
        <v>0</v>
      </c>
    </row>
    <row r="195" spans="2:15" x14ac:dyDescent="0.15">
      <c r="B195" s="40">
        <f t="shared" si="19"/>
        <v>188</v>
      </c>
      <c r="C195" s="113">
        <f>IF(B195&lt;=MIN(Simulation!$F$10*12+Simulation!$F$12*OR(Simulation!$F$11="Amortissable différé partiel",Simulation!$F$11="Amortissable différé total"),Simulation!$F$24*12),IF(AND(B195&lt;=Simulation!$F$12,OR(Simulation!$F$11="Amortissable différé partiel",Simulation!$F$11="Amortissable différé total")),C194*(1+(Simulation!$F$11="Amortissable différé total")*Simulation!$F$8/12),C194-D195),0)</f>
        <v>0</v>
      </c>
      <c r="D195" s="114">
        <f>IF(B195&lt;=MIN(Simulation!$F$10*12+Simulation!$F$12*OR(Simulation!$F$11="Amortissable différé partiel",Simulation!$F$11="Amortissable différé total"),Simulation!$F$24*12),G195-E195,0)</f>
        <v>0</v>
      </c>
      <c r="E195" s="114">
        <f>IF(B195&lt;=MIN(Simulation!$F$10*12+Simulation!$F$12*OR(Simulation!$F$11="Amortissable différé partiel",Simulation!$F$11="Amortissable différé total"),Simulation!$F$24*12),IF(AND(B195&lt;=Simulation!$F$12,Simulation!$F$11="Amortissable différé total"),0,C194*Simulation!$F$8/12),0)</f>
        <v>0</v>
      </c>
      <c r="F195" s="114">
        <f>IF(B195&lt;=MIN(Simulation!$F$10*12+Simulation!$F$12*OR(Simulation!$F$11="Amortissable différé partiel",Simulation!$F$11="Amortissable différé total"),Simulation!$F$24*12),Simulation!$E$33*Simulation!$F$9/12,0)</f>
        <v>0</v>
      </c>
      <c r="G195" s="115">
        <f>IF(B195&lt;=MIN(Simulation!$F$10*12+Simulation!$F$12*OR(Simulation!$F$11="Amortissable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partiel",IF(B195&lt;=Simulation!$F$12,Simulation!$E$33*Simulation!$F$8/12,PMT(Simulation!$F$8/12,Simulation!$F$10*12,-Simulation!$E$34)),IF(Simulation!$F$11="Amortissable différé total",IF(B195&lt;=Simulation!$F$12,0,PMT(Simulation!$F$8/12,Simulation!$F$10*12,-Simulation!$E$34)),IF(Simulation!$F$11="In fine",IF(B195=Simulation!$F$10*12,Simulation!$E$34,Simulation!$F$8*Simulation!$E$34/12),0)))),0)</f>
        <v>0</v>
      </c>
      <c r="H195" s="113">
        <f>Simulation!$C$16/12*(1+Simulation!$F$15)^INT((B195-1)/12)*(B195&lt;=Simulation!$F$24*12)</f>
        <v>0</v>
      </c>
      <c r="I195" s="114">
        <f>(Simulation!$F$22-VLOOKUP(Simulation!$C$27,'Comparatif fiscal'!$B$8:$E$17,4,FALSE)-C195)*(B195=Simulation!$F$24*12)</f>
        <v>0</v>
      </c>
      <c r="J195" s="114">
        <f>(Simulation!$C$21+Simulation!$C$22)/12*(1+Simulation!$F$17)^INT((B195-1)/12)*(B195&lt;=Simulation!$F$24*12)</f>
        <v>0</v>
      </c>
      <c r="K195" s="114">
        <f>(H195*Simulation!$C$24+Simulation!$C$23/12*(1+Simulation!$F$15)^INT((B195-1)/12))*(B195&lt;=Simulation!$F$24*12)</f>
        <v>0</v>
      </c>
      <c r="L195" s="114">
        <f>Simulation!$C$19/12*(1+Simulation!$F$18)^INT((B195-1)/12)*(B195&lt;=Simulation!$F$24*12)</f>
        <v>0</v>
      </c>
      <c r="M195" s="114">
        <f>(Simulation!$C$20/12*(1+Simulation!$F$19)^INT((B195-1)/12)+F195)*(B195&lt;=Simulation!$F$24*12)</f>
        <v>0</v>
      </c>
      <c r="N195" s="114">
        <f ca="1">SUMIF('Détail fiscalité'!$B$8:$B$37,INT(B195/12),'Détail fiscalité'!$CI$8:$CI$37)/12+SUMIF('Détail fiscalité'!$B$8:$B$37,B195/12,'Détail fiscalité'!$CI$8:$CI$37)-SUMIF('Détail fiscalité'!$B$8:$B$37,B195/12-1,'Détail fiscalité'!$CI$8:$CI$37)</f>
        <v>0</v>
      </c>
      <c r="O195" s="116">
        <f t="shared" ca="1" si="20"/>
        <v>0</v>
      </c>
    </row>
    <row r="196" spans="2:15" x14ac:dyDescent="0.15">
      <c r="B196" s="40">
        <f t="shared" si="19"/>
        <v>189</v>
      </c>
      <c r="C196" s="113">
        <f>IF(B196&lt;=MIN(Simulation!$F$10*12+Simulation!$F$12*OR(Simulation!$F$11="Amortissable différé partiel",Simulation!$F$11="Amortissable différé total"),Simulation!$F$24*12),IF(AND(B196&lt;=Simulation!$F$12,OR(Simulation!$F$11="Amortissable différé partiel",Simulation!$F$11="Amortissable différé total")),C195*(1+(Simulation!$F$11="Amortissable différé total")*Simulation!$F$8/12),C195-D196),0)</f>
        <v>0</v>
      </c>
      <c r="D196" s="114">
        <f>IF(B196&lt;=MIN(Simulation!$F$10*12+Simulation!$F$12*OR(Simulation!$F$11="Amortissable différé partiel",Simulation!$F$11="Amortissable différé total"),Simulation!$F$24*12),G196-E196,0)</f>
        <v>0</v>
      </c>
      <c r="E196" s="114">
        <f>IF(B196&lt;=MIN(Simulation!$F$10*12+Simulation!$F$12*OR(Simulation!$F$11="Amortissable différé partiel",Simulation!$F$11="Amortissable différé total"),Simulation!$F$24*12),IF(AND(B196&lt;=Simulation!$F$12,Simulation!$F$11="Amortissable différé total"),0,C195*Simulation!$F$8/12),0)</f>
        <v>0</v>
      </c>
      <c r="F196" s="114">
        <f>IF(B196&lt;=MIN(Simulation!$F$10*12+Simulation!$F$12*OR(Simulation!$F$11="Amortissable différé partiel",Simulation!$F$11="Amortissable différé total"),Simulation!$F$24*12),Simulation!$E$33*Simulation!$F$9/12,0)</f>
        <v>0</v>
      </c>
      <c r="G196" s="115">
        <f>IF(B196&lt;=MIN(Simulation!$F$10*12+Simulation!$F$12*OR(Simulation!$F$11="Amortissable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partiel",IF(B196&lt;=Simulation!$F$12,Simulation!$E$33*Simulation!$F$8/12,PMT(Simulation!$F$8/12,Simulation!$F$10*12,-Simulation!$E$34)),IF(Simulation!$F$11="Amortissable différé total",IF(B196&lt;=Simulation!$F$12,0,PMT(Simulation!$F$8/12,Simulation!$F$10*12,-Simulation!$E$34)),IF(Simulation!$F$11="In fine",IF(B196=Simulation!$F$10*12,Simulation!$E$34,Simulation!$F$8*Simulation!$E$34/12),0)))),0)</f>
        <v>0</v>
      </c>
      <c r="H196" s="113">
        <f>Simulation!$C$16/12*(1+Simulation!$F$15)^INT((B196-1)/12)*(B196&lt;=Simulation!$F$24*12)</f>
        <v>0</v>
      </c>
      <c r="I196" s="114">
        <f>(Simulation!$F$22-VLOOKUP(Simulation!$C$27,'Comparatif fiscal'!$B$8:$E$17,4,FALSE)-C196)*(B196=Simulation!$F$24*12)</f>
        <v>0</v>
      </c>
      <c r="J196" s="114">
        <f>(Simulation!$C$21+Simulation!$C$22)/12*(1+Simulation!$F$17)^INT((B196-1)/12)*(B196&lt;=Simulation!$F$24*12)</f>
        <v>0</v>
      </c>
      <c r="K196" s="114">
        <f>(H196*Simulation!$C$24+Simulation!$C$23/12*(1+Simulation!$F$15)^INT((B196-1)/12))*(B196&lt;=Simulation!$F$24*12)</f>
        <v>0</v>
      </c>
      <c r="L196" s="114">
        <f>Simulation!$C$19/12*(1+Simulation!$F$18)^INT((B196-1)/12)*(B196&lt;=Simulation!$F$24*12)</f>
        <v>0</v>
      </c>
      <c r="M196" s="114">
        <f>(Simulation!$C$20/12*(1+Simulation!$F$19)^INT((B196-1)/12)+F196)*(B196&lt;=Simulation!$F$24*12)</f>
        <v>0</v>
      </c>
      <c r="N196" s="114">
        <f ca="1">SUMIF('Détail fiscalité'!$B$8:$B$37,INT(B196/12),'Détail fiscalité'!$CI$8:$CI$37)/12+SUMIF('Détail fiscalité'!$B$8:$B$37,B196/12,'Détail fiscalité'!$CI$8:$CI$37)-SUMIF('Détail fiscalité'!$B$8:$B$37,B196/12-1,'Détail fiscalité'!$CI$8:$CI$37)</f>
        <v>0</v>
      </c>
      <c r="O196" s="116">
        <f t="shared" ca="1" si="20"/>
        <v>0</v>
      </c>
    </row>
    <row r="197" spans="2:15" x14ac:dyDescent="0.15">
      <c r="B197" s="40">
        <f t="shared" si="19"/>
        <v>190</v>
      </c>
      <c r="C197" s="113">
        <f>IF(B197&lt;=MIN(Simulation!$F$10*12+Simulation!$F$12*OR(Simulation!$F$11="Amortissable différé partiel",Simulation!$F$11="Amortissable différé total"),Simulation!$F$24*12),IF(AND(B197&lt;=Simulation!$F$12,OR(Simulation!$F$11="Amortissable différé partiel",Simulation!$F$11="Amortissable différé total")),C196*(1+(Simulation!$F$11="Amortissable différé total")*Simulation!$F$8/12),C196-D197),0)</f>
        <v>0</v>
      </c>
      <c r="D197" s="114">
        <f>IF(B197&lt;=MIN(Simulation!$F$10*12+Simulation!$F$12*OR(Simulation!$F$11="Amortissable différé partiel",Simulation!$F$11="Amortissable différé total"),Simulation!$F$24*12),G197-E197,0)</f>
        <v>0</v>
      </c>
      <c r="E197" s="114">
        <f>IF(B197&lt;=MIN(Simulation!$F$10*12+Simulation!$F$12*OR(Simulation!$F$11="Amortissable différé partiel",Simulation!$F$11="Amortissable différé total"),Simulation!$F$24*12),IF(AND(B197&lt;=Simulation!$F$12,Simulation!$F$11="Amortissable différé total"),0,C196*Simulation!$F$8/12),0)</f>
        <v>0</v>
      </c>
      <c r="F197" s="114">
        <f>IF(B197&lt;=MIN(Simulation!$F$10*12+Simulation!$F$12*OR(Simulation!$F$11="Amortissable différé partiel",Simulation!$F$11="Amortissable différé total"),Simulation!$F$24*12),Simulation!$E$33*Simulation!$F$9/12,0)</f>
        <v>0</v>
      </c>
      <c r="G197" s="115">
        <f>IF(B197&lt;=MIN(Simulation!$F$10*12+Simulation!$F$12*OR(Simulation!$F$11="Amortissable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partiel",IF(B197&lt;=Simulation!$F$12,Simulation!$E$33*Simulation!$F$8/12,PMT(Simulation!$F$8/12,Simulation!$F$10*12,-Simulation!$E$34)),IF(Simulation!$F$11="Amortissable différé total",IF(B197&lt;=Simulation!$F$12,0,PMT(Simulation!$F$8/12,Simulation!$F$10*12,-Simulation!$E$34)),IF(Simulation!$F$11="In fine",IF(B197=Simulation!$F$10*12,Simulation!$E$34,Simulation!$F$8*Simulation!$E$34/12),0)))),0)</f>
        <v>0</v>
      </c>
      <c r="H197" s="113">
        <f>Simulation!$C$16/12*(1+Simulation!$F$15)^INT((B197-1)/12)*(B197&lt;=Simulation!$F$24*12)</f>
        <v>0</v>
      </c>
      <c r="I197" s="114">
        <f>(Simulation!$F$22-VLOOKUP(Simulation!$C$27,'Comparatif fiscal'!$B$8:$E$17,4,FALSE)-C197)*(B197=Simulation!$F$24*12)</f>
        <v>0</v>
      </c>
      <c r="J197" s="114">
        <f>(Simulation!$C$21+Simulation!$C$22)/12*(1+Simulation!$F$17)^INT((B197-1)/12)*(B197&lt;=Simulation!$F$24*12)</f>
        <v>0</v>
      </c>
      <c r="K197" s="114">
        <f>(H197*Simulation!$C$24+Simulation!$C$23/12*(1+Simulation!$F$15)^INT((B197-1)/12))*(B197&lt;=Simulation!$F$24*12)</f>
        <v>0</v>
      </c>
      <c r="L197" s="114">
        <f>Simulation!$C$19/12*(1+Simulation!$F$18)^INT((B197-1)/12)*(B197&lt;=Simulation!$F$24*12)</f>
        <v>0</v>
      </c>
      <c r="M197" s="114">
        <f>(Simulation!$C$20/12*(1+Simulation!$F$19)^INT((B197-1)/12)+F197)*(B197&lt;=Simulation!$F$24*12)</f>
        <v>0</v>
      </c>
      <c r="N197" s="114">
        <f ca="1">SUMIF('Détail fiscalité'!$B$8:$B$37,INT(B197/12),'Détail fiscalité'!$CI$8:$CI$37)/12+SUMIF('Détail fiscalité'!$B$8:$B$37,B197/12,'Détail fiscalité'!$CI$8:$CI$37)-SUMIF('Détail fiscalité'!$B$8:$B$37,B197/12-1,'Détail fiscalité'!$CI$8:$CI$37)</f>
        <v>0</v>
      </c>
      <c r="O197" s="116">
        <f t="shared" ca="1" si="20"/>
        <v>0</v>
      </c>
    </row>
    <row r="198" spans="2:15" x14ac:dyDescent="0.15">
      <c r="B198" s="40">
        <f t="shared" si="19"/>
        <v>191</v>
      </c>
      <c r="C198" s="113">
        <f>IF(B198&lt;=MIN(Simulation!$F$10*12+Simulation!$F$12*OR(Simulation!$F$11="Amortissable différé partiel",Simulation!$F$11="Amortissable différé total"),Simulation!$F$24*12),IF(AND(B198&lt;=Simulation!$F$12,OR(Simulation!$F$11="Amortissable différé partiel",Simulation!$F$11="Amortissable différé total")),C197*(1+(Simulation!$F$11="Amortissable différé total")*Simulation!$F$8/12),C197-D198),0)</f>
        <v>0</v>
      </c>
      <c r="D198" s="114">
        <f>IF(B198&lt;=MIN(Simulation!$F$10*12+Simulation!$F$12*OR(Simulation!$F$11="Amortissable différé partiel",Simulation!$F$11="Amortissable différé total"),Simulation!$F$24*12),G198-E198,0)</f>
        <v>0</v>
      </c>
      <c r="E198" s="114">
        <f>IF(B198&lt;=MIN(Simulation!$F$10*12+Simulation!$F$12*OR(Simulation!$F$11="Amortissable différé partiel",Simulation!$F$11="Amortissable différé total"),Simulation!$F$24*12),IF(AND(B198&lt;=Simulation!$F$12,Simulation!$F$11="Amortissable différé total"),0,C197*Simulation!$F$8/12),0)</f>
        <v>0</v>
      </c>
      <c r="F198" s="114">
        <f>IF(B198&lt;=MIN(Simulation!$F$10*12+Simulation!$F$12*OR(Simulation!$F$11="Amortissable différé partiel",Simulation!$F$11="Amortissable différé total"),Simulation!$F$24*12),Simulation!$E$33*Simulation!$F$9/12,0)</f>
        <v>0</v>
      </c>
      <c r="G198" s="115">
        <f>IF(B198&lt;=MIN(Simulation!$F$10*12+Simulation!$F$12*OR(Simulation!$F$11="Amortissable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partiel",IF(B198&lt;=Simulation!$F$12,Simulation!$E$33*Simulation!$F$8/12,PMT(Simulation!$F$8/12,Simulation!$F$10*12,-Simulation!$E$34)),IF(Simulation!$F$11="Amortissable différé total",IF(B198&lt;=Simulation!$F$12,0,PMT(Simulation!$F$8/12,Simulation!$F$10*12,-Simulation!$E$34)),IF(Simulation!$F$11="In fine",IF(B198=Simulation!$F$10*12,Simulation!$E$34,Simulation!$F$8*Simulation!$E$34/12),0)))),0)</f>
        <v>0</v>
      </c>
      <c r="H198" s="113">
        <f>Simulation!$C$16/12*(1+Simulation!$F$15)^INT((B198-1)/12)*(B198&lt;=Simulation!$F$24*12)</f>
        <v>0</v>
      </c>
      <c r="I198" s="114">
        <f>(Simulation!$F$22-VLOOKUP(Simulation!$C$27,'Comparatif fiscal'!$B$8:$E$17,4,FALSE)-C198)*(B198=Simulation!$F$24*12)</f>
        <v>0</v>
      </c>
      <c r="J198" s="114">
        <f>(Simulation!$C$21+Simulation!$C$22)/12*(1+Simulation!$F$17)^INT((B198-1)/12)*(B198&lt;=Simulation!$F$24*12)</f>
        <v>0</v>
      </c>
      <c r="K198" s="114">
        <f>(H198*Simulation!$C$24+Simulation!$C$23/12*(1+Simulation!$F$15)^INT((B198-1)/12))*(B198&lt;=Simulation!$F$24*12)</f>
        <v>0</v>
      </c>
      <c r="L198" s="114">
        <f>Simulation!$C$19/12*(1+Simulation!$F$18)^INT((B198-1)/12)*(B198&lt;=Simulation!$F$24*12)</f>
        <v>0</v>
      </c>
      <c r="M198" s="114">
        <f>(Simulation!$C$20/12*(1+Simulation!$F$19)^INT((B198-1)/12)+F198)*(B198&lt;=Simulation!$F$24*12)</f>
        <v>0</v>
      </c>
      <c r="N198" s="114">
        <f ca="1">SUMIF('Détail fiscalité'!$B$8:$B$37,INT(B198/12),'Détail fiscalité'!$CI$8:$CI$37)/12+SUMIF('Détail fiscalité'!$B$8:$B$37,B198/12,'Détail fiscalité'!$CI$8:$CI$37)-SUMIF('Détail fiscalité'!$B$8:$B$37,B198/12-1,'Détail fiscalité'!$CI$8:$CI$37)</f>
        <v>0</v>
      </c>
      <c r="O198" s="116">
        <f t="shared" ca="1" si="20"/>
        <v>0</v>
      </c>
    </row>
    <row r="199" spans="2:15" x14ac:dyDescent="0.15">
      <c r="B199" s="40">
        <f t="shared" si="19"/>
        <v>192</v>
      </c>
      <c r="C199" s="113">
        <f>IF(B199&lt;=MIN(Simulation!$F$10*12+Simulation!$F$12*OR(Simulation!$F$11="Amortissable différé partiel",Simulation!$F$11="Amortissable différé total"),Simulation!$F$24*12),IF(AND(B199&lt;=Simulation!$F$12,OR(Simulation!$F$11="Amortissable différé partiel",Simulation!$F$11="Amortissable différé total")),C198*(1+(Simulation!$F$11="Amortissable différé total")*Simulation!$F$8/12),C198-D199),0)</f>
        <v>0</v>
      </c>
      <c r="D199" s="114">
        <f>IF(B199&lt;=MIN(Simulation!$F$10*12+Simulation!$F$12*OR(Simulation!$F$11="Amortissable différé partiel",Simulation!$F$11="Amortissable différé total"),Simulation!$F$24*12),G199-E199,0)</f>
        <v>0</v>
      </c>
      <c r="E199" s="114">
        <f>IF(B199&lt;=MIN(Simulation!$F$10*12+Simulation!$F$12*OR(Simulation!$F$11="Amortissable différé partiel",Simulation!$F$11="Amortissable différé total"),Simulation!$F$24*12),IF(AND(B199&lt;=Simulation!$F$12,Simulation!$F$11="Amortissable différé total"),0,C198*Simulation!$F$8/12),0)</f>
        <v>0</v>
      </c>
      <c r="F199" s="114">
        <f>IF(B199&lt;=MIN(Simulation!$F$10*12+Simulation!$F$12*OR(Simulation!$F$11="Amortissable différé partiel",Simulation!$F$11="Amortissable différé total"),Simulation!$F$24*12),Simulation!$E$33*Simulation!$F$9/12,0)</f>
        <v>0</v>
      </c>
      <c r="G199" s="115">
        <f>IF(B199&lt;=MIN(Simulation!$F$10*12+Simulation!$F$12*OR(Simulation!$F$11="Amortissable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partiel",IF(B199&lt;=Simulation!$F$12,Simulation!$E$33*Simulation!$F$8/12,PMT(Simulation!$F$8/12,Simulation!$F$10*12,-Simulation!$E$34)),IF(Simulation!$F$11="Amortissable différé total",IF(B199&lt;=Simulation!$F$12,0,PMT(Simulation!$F$8/12,Simulation!$F$10*12,-Simulation!$E$34)),IF(Simulation!$F$11="In fine",IF(B199=Simulation!$F$10*12,Simulation!$E$34,Simulation!$F$8*Simulation!$E$34/12),0)))),0)</f>
        <v>0</v>
      </c>
      <c r="H199" s="113">
        <f>Simulation!$C$16/12*(1+Simulation!$F$15)^INT((B199-1)/12)*(B199&lt;=Simulation!$F$24*12)</f>
        <v>0</v>
      </c>
      <c r="I199" s="114">
        <f>(Simulation!$F$22-VLOOKUP(Simulation!$C$27,'Comparatif fiscal'!$B$8:$E$17,4,FALSE)-C199)*(B199=Simulation!$F$24*12)</f>
        <v>0</v>
      </c>
      <c r="J199" s="114">
        <f>(Simulation!$C$21+Simulation!$C$22)/12*(1+Simulation!$F$17)^INT((B199-1)/12)*(B199&lt;=Simulation!$F$24*12)</f>
        <v>0</v>
      </c>
      <c r="K199" s="114">
        <f>(H199*Simulation!$C$24+Simulation!$C$23/12*(1+Simulation!$F$15)^INT((B199-1)/12))*(B199&lt;=Simulation!$F$24*12)</f>
        <v>0</v>
      </c>
      <c r="L199" s="114">
        <f>Simulation!$C$19/12*(1+Simulation!$F$18)^INT((B199-1)/12)*(B199&lt;=Simulation!$F$24*12)</f>
        <v>0</v>
      </c>
      <c r="M199" s="114">
        <f>(Simulation!$C$20/12*(1+Simulation!$F$19)^INT((B199-1)/12)+F199)*(B199&lt;=Simulation!$F$24*12)</f>
        <v>0</v>
      </c>
      <c r="N199" s="114">
        <f ca="1">SUMIF('Détail fiscalité'!$B$8:$B$37,INT(B199/12),'Détail fiscalité'!$CI$8:$CI$37)/12+SUMIF('Détail fiscalité'!$B$8:$B$37,B199/12,'Détail fiscalité'!$CI$8:$CI$37)-SUMIF('Détail fiscalité'!$B$8:$B$37,B199/12-1,'Détail fiscalité'!$CI$8:$CI$37)</f>
        <v>0</v>
      </c>
      <c r="O199" s="116">
        <f t="shared" ca="1" si="20"/>
        <v>0</v>
      </c>
    </row>
    <row r="200" spans="2:15" x14ac:dyDescent="0.15">
      <c r="B200" s="40">
        <f t="shared" ref="B200:B263" si="21">B199+1</f>
        <v>193</v>
      </c>
      <c r="C200" s="113">
        <f>IF(B200&lt;=MIN(Simulation!$F$10*12+Simulation!$F$12*OR(Simulation!$F$11="Amortissable différé partiel",Simulation!$F$11="Amortissable différé total"),Simulation!$F$24*12),IF(AND(B200&lt;=Simulation!$F$12,OR(Simulation!$F$11="Amortissable différé partiel",Simulation!$F$11="Amortissable différé total")),C199*(1+(Simulation!$F$11="Amortissable différé total")*Simulation!$F$8/12),C199-D200),0)</f>
        <v>0</v>
      </c>
      <c r="D200" s="114">
        <f>IF(B200&lt;=MIN(Simulation!$F$10*12+Simulation!$F$12*OR(Simulation!$F$11="Amortissable différé partiel",Simulation!$F$11="Amortissable différé total"),Simulation!$F$24*12),G200-E200,0)</f>
        <v>0</v>
      </c>
      <c r="E200" s="114">
        <f>IF(B200&lt;=MIN(Simulation!$F$10*12+Simulation!$F$12*OR(Simulation!$F$11="Amortissable différé partiel",Simulation!$F$11="Amortissable différé total"),Simulation!$F$24*12),IF(AND(B200&lt;=Simulation!$F$12,Simulation!$F$11="Amortissable différé total"),0,C199*Simulation!$F$8/12),0)</f>
        <v>0</v>
      </c>
      <c r="F200" s="114">
        <f>IF(B200&lt;=MIN(Simulation!$F$10*12+Simulation!$F$12*OR(Simulation!$F$11="Amortissable différé partiel",Simulation!$F$11="Amortissable différé total"),Simulation!$F$24*12),Simulation!$E$33*Simulation!$F$9/12,0)</f>
        <v>0</v>
      </c>
      <c r="G200" s="115">
        <f>IF(B200&lt;=MIN(Simulation!$F$10*12+Simulation!$F$12*OR(Simulation!$F$11="Amortissable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partiel",IF(B200&lt;=Simulation!$F$12,Simulation!$E$33*Simulation!$F$8/12,PMT(Simulation!$F$8/12,Simulation!$F$10*12,-Simulation!$E$34)),IF(Simulation!$F$11="Amortissable différé total",IF(B200&lt;=Simulation!$F$12,0,PMT(Simulation!$F$8/12,Simulation!$F$10*12,-Simulation!$E$34)),IF(Simulation!$F$11="In fine",IF(B200=Simulation!$F$10*12,Simulation!$E$34,Simulation!$F$8*Simulation!$E$34/12),0)))),0)</f>
        <v>0</v>
      </c>
      <c r="H200" s="113">
        <f>Simulation!$C$16/12*(1+Simulation!$F$15)^INT((B200-1)/12)*(B200&lt;=Simulation!$F$24*12)</f>
        <v>0</v>
      </c>
      <c r="I200" s="114">
        <f>(Simulation!$F$22-VLOOKUP(Simulation!$C$27,'Comparatif fiscal'!$B$8:$E$17,4,FALSE)-C200)*(B200=Simulation!$F$24*12)</f>
        <v>0</v>
      </c>
      <c r="J200" s="114">
        <f>(Simulation!$C$21+Simulation!$C$22)/12*(1+Simulation!$F$17)^INT((B200-1)/12)*(B200&lt;=Simulation!$F$24*12)</f>
        <v>0</v>
      </c>
      <c r="K200" s="114">
        <f>(H200*Simulation!$C$24+Simulation!$C$23/12*(1+Simulation!$F$15)^INT((B200-1)/12))*(B200&lt;=Simulation!$F$24*12)</f>
        <v>0</v>
      </c>
      <c r="L200" s="114">
        <f>Simulation!$C$19/12*(1+Simulation!$F$18)^INT((B200-1)/12)*(B200&lt;=Simulation!$F$24*12)</f>
        <v>0</v>
      </c>
      <c r="M200" s="114">
        <f>(Simulation!$C$20/12*(1+Simulation!$F$19)^INT((B200-1)/12)+F200)*(B200&lt;=Simulation!$F$24*12)</f>
        <v>0</v>
      </c>
      <c r="N200" s="114">
        <f ca="1">SUMIF('Détail fiscalité'!$B$8:$B$37,INT(B200/12),'Détail fiscalité'!$CI$8:$CI$37)/12+SUMIF('Détail fiscalité'!$B$8:$B$37,B200/12,'Détail fiscalité'!$CI$8:$CI$37)-SUMIF('Détail fiscalité'!$B$8:$B$37,B200/12-1,'Détail fiscalité'!$CI$8:$CI$37)</f>
        <v>0</v>
      </c>
      <c r="O200" s="116">
        <f t="shared" ca="1" si="20"/>
        <v>0</v>
      </c>
    </row>
    <row r="201" spans="2:15" x14ac:dyDescent="0.15">
      <c r="B201" s="40">
        <f t="shared" si="21"/>
        <v>194</v>
      </c>
      <c r="C201" s="113">
        <f>IF(B201&lt;=MIN(Simulation!$F$10*12+Simulation!$F$12*OR(Simulation!$F$11="Amortissable différé partiel",Simulation!$F$11="Amortissable différé total"),Simulation!$F$24*12),IF(AND(B201&lt;=Simulation!$F$12,OR(Simulation!$F$11="Amortissable différé partiel",Simulation!$F$11="Amortissable différé total")),C200*(1+(Simulation!$F$11="Amortissable différé total")*Simulation!$F$8/12),C200-D201),0)</f>
        <v>0</v>
      </c>
      <c r="D201" s="114">
        <f>IF(B201&lt;=MIN(Simulation!$F$10*12+Simulation!$F$12*OR(Simulation!$F$11="Amortissable différé partiel",Simulation!$F$11="Amortissable différé total"),Simulation!$F$24*12),G201-E201,0)</f>
        <v>0</v>
      </c>
      <c r="E201" s="114">
        <f>IF(B201&lt;=MIN(Simulation!$F$10*12+Simulation!$F$12*OR(Simulation!$F$11="Amortissable différé partiel",Simulation!$F$11="Amortissable différé total"),Simulation!$F$24*12),IF(AND(B201&lt;=Simulation!$F$12,Simulation!$F$11="Amortissable différé total"),0,C200*Simulation!$F$8/12),0)</f>
        <v>0</v>
      </c>
      <c r="F201" s="114">
        <f>IF(B201&lt;=MIN(Simulation!$F$10*12+Simulation!$F$12*OR(Simulation!$F$11="Amortissable différé partiel",Simulation!$F$11="Amortissable différé total"),Simulation!$F$24*12),Simulation!$E$33*Simulation!$F$9/12,0)</f>
        <v>0</v>
      </c>
      <c r="G201" s="115">
        <f>IF(B201&lt;=MIN(Simulation!$F$10*12+Simulation!$F$12*OR(Simulation!$F$11="Amortissable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partiel",IF(B201&lt;=Simulation!$F$12,Simulation!$E$33*Simulation!$F$8/12,PMT(Simulation!$F$8/12,Simulation!$F$10*12,-Simulation!$E$34)),IF(Simulation!$F$11="Amortissable différé total",IF(B201&lt;=Simulation!$F$12,0,PMT(Simulation!$F$8/12,Simulation!$F$10*12,-Simulation!$E$34)),IF(Simulation!$F$11="In fine",IF(B201=Simulation!$F$10*12,Simulation!$E$34,Simulation!$F$8*Simulation!$E$34/12),0)))),0)</f>
        <v>0</v>
      </c>
      <c r="H201" s="113">
        <f>Simulation!$C$16/12*(1+Simulation!$F$15)^INT((B201-1)/12)*(B201&lt;=Simulation!$F$24*12)</f>
        <v>0</v>
      </c>
      <c r="I201" s="114">
        <f>(Simulation!$F$22-VLOOKUP(Simulation!$C$27,'Comparatif fiscal'!$B$8:$E$17,4,FALSE)-C201)*(B201=Simulation!$F$24*12)</f>
        <v>0</v>
      </c>
      <c r="J201" s="114">
        <f>(Simulation!$C$21+Simulation!$C$22)/12*(1+Simulation!$F$17)^INT((B201-1)/12)*(B201&lt;=Simulation!$F$24*12)</f>
        <v>0</v>
      </c>
      <c r="K201" s="114">
        <f>(H201*Simulation!$C$24+Simulation!$C$23/12*(1+Simulation!$F$15)^INT((B201-1)/12))*(B201&lt;=Simulation!$F$24*12)</f>
        <v>0</v>
      </c>
      <c r="L201" s="114">
        <f>Simulation!$C$19/12*(1+Simulation!$F$18)^INT((B201-1)/12)*(B201&lt;=Simulation!$F$24*12)</f>
        <v>0</v>
      </c>
      <c r="M201" s="114">
        <f>(Simulation!$C$20/12*(1+Simulation!$F$19)^INT((B201-1)/12)+F201)*(B201&lt;=Simulation!$F$24*12)</f>
        <v>0</v>
      </c>
      <c r="N201" s="114">
        <f ca="1">SUMIF('Détail fiscalité'!$B$8:$B$37,INT(B201/12),'Détail fiscalité'!$CI$8:$CI$37)/12+SUMIF('Détail fiscalité'!$B$8:$B$37,B201/12,'Détail fiscalité'!$CI$8:$CI$37)-SUMIF('Détail fiscalité'!$B$8:$B$37,B201/12-1,'Détail fiscalité'!$CI$8:$CI$37)</f>
        <v>0</v>
      </c>
      <c r="O201" s="116">
        <f t="shared" ref="O201:O264" ca="1" si="22">SUM(H201:I201)-SUM(G201,J201:N201)</f>
        <v>0</v>
      </c>
    </row>
    <row r="202" spans="2:15" x14ac:dyDescent="0.15">
      <c r="B202" s="40">
        <f t="shared" si="21"/>
        <v>195</v>
      </c>
      <c r="C202" s="113">
        <f>IF(B202&lt;=MIN(Simulation!$F$10*12+Simulation!$F$12*OR(Simulation!$F$11="Amortissable différé partiel",Simulation!$F$11="Amortissable différé total"),Simulation!$F$24*12),IF(AND(B202&lt;=Simulation!$F$12,OR(Simulation!$F$11="Amortissable différé partiel",Simulation!$F$11="Amortissable différé total")),C201*(1+(Simulation!$F$11="Amortissable différé total")*Simulation!$F$8/12),C201-D202),0)</f>
        <v>0</v>
      </c>
      <c r="D202" s="114">
        <f>IF(B202&lt;=MIN(Simulation!$F$10*12+Simulation!$F$12*OR(Simulation!$F$11="Amortissable différé partiel",Simulation!$F$11="Amortissable différé total"),Simulation!$F$24*12),G202-E202,0)</f>
        <v>0</v>
      </c>
      <c r="E202" s="114">
        <f>IF(B202&lt;=MIN(Simulation!$F$10*12+Simulation!$F$12*OR(Simulation!$F$11="Amortissable différé partiel",Simulation!$F$11="Amortissable différé total"),Simulation!$F$24*12),IF(AND(B202&lt;=Simulation!$F$12,Simulation!$F$11="Amortissable différé total"),0,C201*Simulation!$F$8/12),0)</f>
        <v>0</v>
      </c>
      <c r="F202" s="114">
        <f>IF(B202&lt;=MIN(Simulation!$F$10*12+Simulation!$F$12*OR(Simulation!$F$11="Amortissable différé partiel",Simulation!$F$11="Amortissable différé total"),Simulation!$F$24*12),Simulation!$E$33*Simulation!$F$9/12,0)</f>
        <v>0</v>
      </c>
      <c r="G202" s="115">
        <f>IF(B202&lt;=MIN(Simulation!$F$10*12+Simulation!$F$12*OR(Simulation!$F$11="Amortissable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partiel",IF(B202&lt;=Simulation!$F$12,Simulation!$E$33*Simulation!$F$8/12,PMT(Simulation!$F$8/12,Simulation!$F$10*12,-Simulation!$E$34)),IF(Simulation!$F$11="Amortissable différé total",IF(B202&lt;=Simulation!$F$12,0,PMT(Simulation!$F$8/12,Simulation!$F$10*12,-Simulation!$E$34)),IF(Simulation!$F$11="In fine",IF(B202=Simulation!$F$10*12,Simulation!$E$34,Simulation!$F$8*Simulation!$E$34/12),0)))),0)</f>
        <v>0</v>
      </c>
      <c r="H202" s="113">
        <f>Simulation!$C$16/12*(1+Simulation!$F$15)^INT((B202-1)/12)*(B202&lt;=Simulation!$F$24*12)</f>
        <v>0</v>
      </c>
      <c r="I202" s="114">
        <f>(Simulation!$F$22-VLOOKUP(Simulation!$C$27,'Comparatif fiscal'!$B$8:$E$17,4,FALSE)-C202)*(B202=Simulation!$F$24*12)</f>
        <v>0</v>
      </c>
      <c r="J202" s="114">
        <f>(Simulation!$C$21+Simulation!$C$22)/12*(1+Simulation!$F$17)^INT((B202-1)/12)*(B202&lt;=Simulation!$F$24*12)</f>
        <v>0</v>
      </c>
      <c r="K202" s="114">
        <f>(H202*Simulation!$C$24+Simulation!$C$23/12*(1+Simulation!$F$15)^INT((B202-1)/12))*(B202&lt;=Simulation!$F$24*12)</f>
        <v>0</v>
      </c>
      <c r="L202" s="114">
        <f>Simulation!$C$19/12*(1+Simulation!$F$18)^INT((B202-1)/12)*(B202&lt;=Simulation!$F$24*12)</f>
        <v>0</v>
      </c>
      <c r="M202" s="114">
        <f>(Simulation!$C$20/12*(1+Simulation!$F$19)^INT((B202-1)/12)+F202)*(B202&lt;=Simulation!$F$24*12)</f>
        <v>0</v>
      </c>
      <c r="N202" s="114">
        <f ca="1">SUMIF('Détail fiscalité'!$B$8:$B$37,INT(B202/12),'Détail fiscalité'!$CI$8:$CI$37)/12+SUMIF('Détail fiscalité'!$B$8:$B$37,B202/12,'Détail fiscalité'!$CI$8:$CI$37)-SUMIF('Détail fiscalité'!$B$8:$B$37,B202/12-1,'Détail fiscalité'!$CI$8:$CI$37)</f>
        <v>0</v>
      </c>
      <c r="O202" s="116">
        <f t="shared" ca="1" si="22"/>
        <v>0</v>
      </c>
    </row>
    <row r="203" spans="2:15" x14ac:dyDescent="0.15">
      <c r="B203" s="40">
        <f t="shared" si="21"/>
        <v>196</v>
      </c>
      <c r="C203" s="113">
        <f>IF(B203&lt;=MIN(Simulation!$F$10*12+Simulation!$F$12*OR(Simulation!$F$11="Amortissable différé partiel",Simulation!$F$11="Amortissable différé total"),Simulation!$F$24*12),IF(AND(B203&lt;=Simulation!$F$12,OR(Simulation!$F$11="Amortissable différé partiel",Simulation!$F$11="Amortissable différé total")),C202*(1+(Simulation!$F$11="Amortissable différé total")*Simulation!$F$8/12),C202-D203),0)</f>
        <v>0</v>
      </c>
      <c r="D203" s="114">
        <f>IF(B203&lt;=MIN(Simulation!$F$10*12+Simulation!$F$12*OR(Simulation!$F$11="Amortissable différé partiel",Simulation!$F$11="Amortissable différé total"),Simulation!$F$24*12),G203-E203,0)</f>
        <v>0</v>
      </c>
      <c r="E203" s="114">
        <f>IF(B203&lt;=MIN(Simulation!$F$10*12+Simulation!$F$12*OR(Simulation!$F$11="Amortissable différé partiel",Simulation!$F$11="Amortissable différé total"),Simulation!$F$24*12),IF(AND(B203&lt;=Simulation!$F$12,Simulation!$F$11="Amortissable différé total"),0,C202*Simulation!$F$8/12),0)</f>
        <v>0</v>
      </c>
      <c r="F203" s="114">
        <f>IF(B203&lt;=MIN(Simulation!$F$10*12+Simulation!$F$12*OR(Simulation!$F$11="Amortissable différé partiel",Simulation!$F$11="Amortissable différé total"),Simulation!$F$24*12),Simulation!$E$33*Simulation!$F$9/12,0)</f>
        <v>0</v>
      </c>
      <c r="G203" s="115">
        <f>IF(B203&lt;=MIN(Simulation!$F$10*12+Simulation!$F$12*OR(Simulation!$F$11="Amortissable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partiel",IF(B203&lt;=Simulation!$F$12,Simulation!$E$33*Simulation!$F$8/12,PMT(Simulation!$F$8/12,Simulation!$F$10*12,-Simulation!$E$34)),IF(Simulation!$F$11="Amortissable différé total",IF(B203&lt;=Simulation!$F$12,0,PMT(Simulation!$F$8/12,Simulation!$F$10*12,-Simulation!$E$34)),IF(Simulation!$F$11="In fine",IF(B203=Simulation!$F$10*12,Simulation!$E$34,Simulation!$F$8*Simulation!$E$34/12),0)))),0)</f>
        <v>0</v>
      </c>
      <c r="H203" s="113">
        <f>Simulation!$C$16/12*(1+Simulation!$F$15)^INT((B203-1)/12)*(B203&lt;=Simulation!$F$24*12)</f>
        <v>0</v>
      </c>
      <c r="I203" s="114">
        <f>(Simulation!$F$22-VLOOKUP(Simulation!$C$27,'Comparatif fiscal'!$B$8:$E$17,4,FALSE)-C203)*(B203=Simulation!$F$24*12)</f>
        <v>0</v>
      </c>
      <c r="J203" s="114">
        <f>(Simulation!$C$21+Simulation!$C$22)/12*(1+Simulation!$F$17)^INT((B203-1)/12)*(B203&lt;=Simulation!$F$24*12)</f>
        <v>0</v>
      </c>
      <c r="K203" s="114">
        <f>(H203*Simulation!$C$24+Simulation!$C$23/12*(1+Simulation!$F$15)^INT((B203-1)/12))*(B203&lt;=Simulation!$F$24*12)</f>
        <v>0</v>
      </c>
      <c r="L203" s="114">
        <f>Simulation!$C$19/12*(1+Simulation!$F$18)^INT((B203-1)/12)*(B203&lt;=Simulation!$F$24*12)</f>
        <v>0</v>
      </c>
      <c r="M203" s="114">
        <f>(Simulation!$C$20/12*(1+Simulation!$F$19)^INT((B203-1)/12)+F203)*(B203&lt;=Simulation!$F$24*12)</f>
        <v>0</v>
      </c>
      <c r="N203" s="114">
        <f ca="1">SUMIF('Détail fiscalité'!$B$8:$B$37,INT(B203/12),'Détail fiscalité'!$CI$8:$CI$37)/12+SUMIF('Détail fiscalité'!$B$8:$B$37,B203/12,'Détail fiscalité'!$CI$8:$CI$37)-SUMIF('Détail fiscalité'!$B$8:$B$37,B203/12-1,'Détail fiscalité'!$CI$8:$CI$37)</f>
        <v>0</v>
      </c>
      <c r="O203" s="116">
        <f t="shared" ca="1" si="22"/>
        <v>0</v>
      </c>
    </row>
    <row r="204" spans="2:15" x14ac:dyDescent="0.15">
      <c r="B204" s="40">
        <f t="shared" si="21"/>
        <v>197</v>
      </c>
      <c r="C204" s="113">
        <f>IF(B204&lt;=MIN(Simulation!$F$10*12+Simulation!$F$12*OR(Simulation!$F$11="Amortissable différé partiel",Simulation!$F$11="Amortissable différé total"),Simulation!$F$24*12),IF(AND(B204&lt;=Simulation!$F$12,OR(Simulation!$F$11="Amortissable différé partiel",Simulation!$F$11="Amortissable différé total")),C203*(1+(Simulation!$F$11="Amortissable différé total")*Simulation!$F$8/12),C203-D204),0)</f>
        <v>0</v>
      </c>
      <c r="D204" s="114">
        <f>IF(B204&lt;=MIN(Simulation!$F$10*12+Simulation!$F$12*OR(Simulation!$F$11="Amortissable différé partiel",Simulation!$F$11="Amortissable différé total"),Simulation!$F$24*12),G204-E204,0)</f>
        <v>0</v>
      </c>
      <c r="E204" s="114">
        <f>IF(B204&lt;=MIN(Simulation!$F$10*12+Simulation!$F$12*OR(Simulation!$F$11="Amortissable différé partiel",Simulation!$F$11="Amortissable différé total"),Simulation!$F$24*12),IF(AND(B204&lt;=Simulation!$F$12,Simulation!$F$11="Amortissable différé total"),0,C203*Simulation!$F$8/12),0)</f>
        <v>0</v>
      </c>
      <c r="F204" s="114">
        <f>IF(B204&lt;=MIN(Simulation!$F$10*12+Simulation!$F$12*OR(Simulation!$F$11="Amortissable différé partiel",Simulation!$F$11="Amortissable différé total"),Simulation!$F$24*12),Simulation!$E$33*Simulation!$F$9/12,0)</f>
        <v>0</v>
      </c>
      <c r="G204" s="115">
        <f>IF(B204&lt;=MIN(Simulation!$F$10*12+Simulation!$F$12*OR(Simulation!$F$11="Amortissable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partiel",IF(B204&lt;=Simulation!$F$12,Simulation!$E$33*Simulation!$F$8/12,PMT(Simulation!$F$8/12,Simulation!$F$10*12,-Simulation!$E$34)),IF(Simulation!$F$11="Amortissable différé total",IF(B204&lt;=Simulation!$F$12,0,PMT(Simulation!$F$8/12,Simulation!$F$10*12,-Simulation!$E$34)),IF(Simulation!$F$11="In fine",IF(B204=Simulation!$F$10*12,Simulation!$E$34,Simulation!$F$8*Simulation!$E$34/12),0)))),0)</f>
        <v>0</v>
      </c>
      <c r="H204" s="113">
        <f>Simulation!$C$16/12*(1+Simulation!$F$15)^INT((B204-1)/12)*(B204&lt;=Simulation!$F$24*12)</f>
        <v>0</v>
      </c>
      <c r="I204" s="114">
        <f>(Simulation!$F$22-VLOOKUP(Simulation!$C$27,'Comparatif fiscal'!$B$8:$E$17,4,FALSE)-C204)*(B204=Simulation!$F$24*12)</f>
        <v>0</v>
      </c>
      <c r="J204" s="114">
        <f>(Simulation!$C$21+Simulation!$C$22)/12*(1+Simulation!$F$17)^INT((B204-1)/12)*(B204&lt;=Simulation!$F$24*12)</f>
        <v>0</v>
      </c>
      <c r="K204" s="114">
        <f>(H204*Simulation!$C$24+Simulation!$C$23/12*(1+Simulation!$F$15)^INT((B204-1)/12))*(B204&lt;=Simulation!$F$24*12)</f>
        <v>0</v>
      </c>
      <c r="L204" s="114">
        <f>Simulation!$C$19/12*(1+Simulation!$F$18)^INT((B204-1)/12)*(B204&lt;=Simulation!$F$24*12)</f>
        <v>0</v>
      </c>
      <c r="M204" s="114">
        <f>(Simulation!$C$20/12*(1+Simulation!$F$19)^INT((B204-1)/12)+F204)*(B204&lt;=Simulation!$F$24*12)</f>
        <v>0</v>
      </c>
      <c r="N204" s="114">
        <f ca="1">SUMIF('Détail fiscalité'!$B$8:$B$37,INT(B204/12),'Détail fiscalité'!$CI$8:$CI$37)/12+SUMIF('Détail fiscalité'!$B$8:$B$37,B204/12,'Détail fiscalité'!$CI$8:$CI$37)-SUMIF('Détail fiscalité'!$B$8:$B$37,B204/12-1,'Détail fiscalité'!$CI$8:$CI$37)</f>
        <v>0</v>
      </c>
      <c r="O204" s="116">
        <f t="shared" ca="1" si="22"/>
        <v>0</v>
      </c>
    </row>
    <row r="205" spans="2:15" x14ac:dyDescent="0.15">
      <c r="B205" s="40">
        <f t="shared" si="21"/>
        <v>198</v>
      </c>
      <c r="C205" s="113">
        <f>IF(B205&lt;=MIN(Simulation!$F$10*12+Simulation!$F$12*OR(Simulation!$F$11="Amortissable différé partiel",Simulation!$F$11="Amortissable différé total"),Simulation!$F$24*12),IF(AND(B205&lt;=Simulation!$F$12,OR(Simulation!$F$11="Amortissable différé partiel",Simulation!$F$11="Amortissable différé total")),C204*(1+(Simulation!$F$11="Amortissable différé total")*Simulation!$F$8/12),C204-D205),0)</f>
        <v>0</v>
      </c>
      <c r="D205" s="114">
        <f>IF(B205&lt;=MIN(Simulation!$F$10*12+Simulation!$F$12*OR(Simulation!$F$11="Amortissable différé partiel",Simulation!$F$11="Amortissable différé total"),Simulation!$F$24*12),G205-E205,0)</f>
        <v>0</v>
      </c>
      <c r="E205" s="114">
        <f>IF(B205&lt;=MIN(Simulation!$F$10*12+Simulation!$F$12*OR(Simulation!$F$11="Amortissable différé partiel",Simulation!$F$11="Amortissable différé total"),Simulation!$F$24*12),IF(AND(B205&lt;=Simulation!$F$12,Simulation!$F$11="Amortissable différé total"),0,C204*Simulation!$F$8/12),0)</f>
        <v>0</v>
      </c>
      <c r="F205" s="114">
        <f>IF(B205&lt;=MIN(Simulation!$F$10*12+Simulation!$F$12*OR(Simulation!$F$11="Amortissable différé partiel",Simulation!$F$11="Amortissable différé total"),Simulation!$F$24*12),Simulation!$E$33*Simulation!$F$9/12,0)</f>
        <v>0</v>
      </c>
      <c r="G205" s="115">
        <f>IF(B205&lt;=MIN(Simulation!$F$10*12+Simulation!$F$12*OR(Simulation!$F$11="Amortissable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partiel",IF(B205&lt;=Simulation!$F$12,Simulation!$E$33*Simulation!$F$8/12,PMT(Simulation!$F$8/12,Simulation!$F$10*12,-Simulation!$E$34)),IF(Simulation!$F$11="Amortissable différé total",IF(B205&lt;=Simulation!$F$12,0,PMT(Simulation!$F$8/12,Simulation!$F$10*12,-Simulation!$E$34)),IF(Simulation!$F$11="In fine",IF(B205=Simulation!$F$10*12,Simulation!$E$34,Simulation!$F$8*Simulation!$E$34/12),0)))),0)</f>
        <v>0</v>
      </c>
      <c r="H205" s="113">
        <f>Simulation!$C$16/12*(1+Simulation!$F$15)^INT((B205-1)/12)*(B205&lt;=Simulation!$F$24*12)</f>
        <v>0</v>
      </c>
      <c r="I205" s="114">
        <f>(Simulation!$F$22-VLOOKUP(Simulation!$C$27,'Comparatif fiscal'!$B$8:$E$17,4,FALSE)-C205)*(B205=Simulation!$F$24*12)</f>
        <v>0</v>
      </c>
      <c r="J205" s="114">
        <f>(Simulation!$C$21+Simulation!$C$22)/12*(1+Simulation!$F$17)^INT((B205-1)/12)*(B205&lt;=Simulation!$F$24*12)</f>
        <v>0</v>
      </c>
      <c r="K205" s="114">
        <f>(H205*Simulation!$C$24+Simulation!$C$23/12*(1+Simulation!$F$15)^INT((B205-1)/12))*(B205&lt;=Simulation!$F$24*12)</f>
        <v>0</v>
      </c>
      <c r="L205" s="114">
        <f>Simulation!$C$19/12*(1+Simulation!$F$18)^INT((B205-1)/12)*(B205&lt;=Simulation!$F$24*12)</f>
        <v>0</v>
      </c>
      <c r="M205" s="114">
        <f>(Simulation!$C$20/12*(1+Simulation!$F$19)^INT((B205-1)/12)+F205)*(B205&lt;=Simulation!$F$24*12)</f>
        <v>0</v>
      </c>
      <c r="N205" s="114">
        <f ca="1">SUMIF('Détail fiscalité'!$B$8:$B$37,INT(B205/12),'Détail fiscalité'!$CI$8:$CI$37)/12+SUMIF('Détail fiscalité'!$B$8:$B$37,B205/12,'Détail fiscalité'!$CI$8:$CI$37)-SUMIF('Détail fiscalité'!$B$8:$B$37,B205/12-1,'Détail fiscalité'!$CI$8:$CI$37)</f>
        <v>0</v>
      </c>
      <c r="O205" s="116">
        <f t="shared" ca="1" si="22"/>
        <v>0</v>
      </c>
    </row>
    <row r="206" spans="2:15" x14ac:dyDescent="0.15">
      <c r="B206" s="40">
        <f t="shared" si="21"/>
        <v>199</v>
      </c>
      <c r="C206" s="113">
        <f>IF(B206&lt;=MIN(Simulation!$F$10*12+Simulation!$F$12*OR(Simulation!$F$11="Amortissable différé partiel",Simulation!$F$11="Amortissable différé total"),Simulation!$F$24*12),IF(AND(B206&lt;=Simulation!$F$12,OR(Simulation!$F$11="Amortissable différé partiel",Simulation!$F$11="Amortissable différé total")),C205*(1+(Simulation!$F$11="Amortissable différé total")*Simulation!$F$8/12),C205-D206),0)</f>
        <v>0</v>
      </c>
      <c r="D206" s="114">
        <f>IF(B206&lt;=MIN(Simulation!$F$10*12+Simulation!$F$12*OR(Simulation!$F$11="Amortissable différé partiel",Simulation!$F$11="Amortissable différé total"),Simulation!$F$24*12),G206-E206,0)</f>
        <v>0</v>
      </c>
      <c r="E206" s="114">
        <f>IF(B206&lt;=MIN(Simulation!$F$10*12+Simulation!$F$12*OR(Simulation!$F$11="Amortissable différé partiel",Simulation!$F$11="Amortissable différé total"),Simulation!$F$24*12),IF(AND(B206&lt;=Simulation!$F$12,Simulation!$F$11="Amortissable différé total"),0,C205*Simulation!$F$8/12),0)</f>
        <v>0</v>
      </c>
      <c r="F206" s="114">
        <f>IF(B206&lt;=MIN(Simulation!$F$10*12+Simulation!$F$12*OR(Simulation!$F$11="Amortissable différé partiel",Simulation!$F$11="Amortissable différé total"),Simulation!$F$24*12),Simulation!$E$33*Simulation!$F$9/12,0)</f>
        <v>0</v>
      </c>
      <c r="G206" s="115">
        <f>IF(B206&lt;=MIN(Simulation!$F$10*12+Simulation!$F$12*OR(Simulation!$F$11="Amortissable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partiel",IF(B206&lt;=Simulation!$F$12,Simulation!$E$33*Simulation!$F$8/12,PMT(Simulation!$F$8/12,Simulation!$F$10*12,-Simulation!$E$34)),IF(Simulation!$F$11="Amortissable différé total",IF(B206&lt;=Simulation!$F$12,0,PMT(Simulation!$F$8/12,Simulation!$F$10*12,-Simulation!$E$34)),IF(Simulation!$F$11="In fine",IF(B206=Simulation!$F$10*12,Simulation!$E$34,Simulation!$F$8*Simulation!$E$34/12),0)))),0)</f>
        <v>0</v>
      </c>
      <c r="H206" s="113">
        <f>Simulation!$C$16/12*(1+Simulation!$F$15)^INT((B206-1)/12)*(B206&lt;=Simulation!$F$24*12)</f>
        <v>0</v>
      </c>
      <c r="I206" s="114">
        <f>(Simulation!$F$22-VLOOKUP(Simulation!$C$27,'Comparatif fiscal'!$B$8:$E$17,4,FALSE)-C206)*(B206=Simulation!$F$24*12)</f>
        <v>0</v>
      </c>
      <c r="J206" s="114">
        <f>(Simulation!$C$21+Simulation!$C$22)/12*(1+Simulation!$F$17)^INT((B206-1)/12)*(B206&lt;=Simulation!$F$24*12)</f>
        <v>0</v>
      </c>
      <c r="K206" s="114">
        <f>(H206*Simulation!$C$24+Simulation!$C$23/12*(1+Simulation!$F$15)^INT((B206-1)/12))*(B206&lt;=Simulation!$F$24*12)</f>
        <v>0</v>
      </c>
      <c r="L206" s="114">
        <f>Simulation!$C$19/12*(1+Simulation!$F$18)^INT((B206-1)/12)*(B206&lt;=Simulation!$F$24*12)</f>
        <v>0</v>
      </c>
      <c r="M206" s="114">
        <f>(Simulation!$C$20/12*(1+Simulation!$F$19)^INT((B206-1)/12)+F206)*(B206&lt;=Simulation!$F$24*12)</f>
        <v>0</v>
      </c>
      <c r="N206" s="114">
        <f ca="1">SUMIF('Détail fiscalité'!$B$8:$B$37,INT(B206/12),'Détail fiscalité'!$CI$8:$CI$37)/12+SUMIF('Détail fiscalité'!$B$8:$B$37,B206/12,'Détail fiscalité'!$CI$8:$CI$37)-SUMIF('Détail fiscalité'!$B$8:$B$37,B206/12-1,'Détail fiscalité'!$CI$8:$CI$37)</f>
        <v>0</v>
      </c>
      <c r="O206" s="116">
        <f t="shared" ca="1" si="22"/>
        <v>0</v>
      </c>
    </row>
    <row r="207" spans="2:15" x14ac:dyDescent="0.15">
      <c r="B207" s="40">
        <f t="shared" si="21"/>
        <v>200</v>
      </c>
      <c r="C207" s="113">
        <f>IF(B207&lt;=MIN(Simulation!$F$10*12+Simulation!$F$12*OR(Simulation!$F$11="Amortissable différé partiel",Simulation!$F$11="Amortissable différé total"),Simulation!$F$24*12),IF(AND(B207&lt;=Simulation!$F$12,OR(Simulation!$F$11="Amortissable différé partiel",Simulation!$F$11="Amortissable différé total")),C206*(1+(Simulation!$F$11="Amortissable différé total")*Simulation!$F$8/12),C206-D207),0)</f>
        <v>0</v>
      </c>
      <c r="D207" s="114">
        <f>IF(B207&lt;=MIN(Simulation!$F$10*12+Simulation!$F$12*OR(Simulation!$F$11="Amortissable différé partiel",Simulation!$F$11="Amortissable différé total"),Simulation!$F$24*12),G207-E207,0)</f>
        <v>0</v>
      </c>
      <c r="E207" s="114">
        <f>IF(B207&lt;=MIN(Simulation!$F$10*12+Simulation!$F$12*OR(Simulation!$F$11="Amortissable différé partiel",Simulation!$F$11="Amortissable différé total"),Simulation!$F$24*12),IF(AND(B207&lt;=Simulation!$F$12,Simulation!$F$11="Amortissable différé total"),0,C206*Simulation!$F$8/12),0)</f>
        <v>0</v>
      </c>
      <c r="F207" s="114">
        <f>IF(B207&lt;=MIN(Simulation!$F$10*12+Simulation!$F$12*OR(Simulation!$F$11="Amortissable différé partiel",Simulation!$F$11="Amortissable différé total"),Simulation!$F$24*12),Simulation!$E$33*Simulation!$F$9/12,0)</f>
        <v>0</v>
      </c>
      <c r="G207" s="115">
        <f>IF(B207&lt;=MIN(Simulation!$F$10*12+Simulation!$F$12*OR(Simulation!$F$11="Amortissable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partiel",IF(B207&lt;=Simulation!$F$12,Simulation!$E$33*Simulation!$F$8/12,PMT(Simulation!$F$8/12,Simulation!$F$10*12,-Simulation!$E$34)),IF(Simulation!$F$11="Amortissable différé total",IF(B207&lt;=Simulation!$F$12,0,PMT(Simulation!$F$8/12,Simulation!$F$10*12,-Simulation!$E$34)),IF(Simulation!$F$11="In fine",IF(B207=Simulation!$F$10*12,Simulation!$E$34,Simulation!$F$8*Simulation!$E$34/12),0)))),0)</f>
        <v>0</v>
      </c>
      <c r="H207" s="113">
        <f>Simulation!$C$16/12*(1+Simulation!$F$15)^INT((B207-1)/12)*(B207&lt;=Simulation!$F$24*12)</f>
        <v>0</v>
      </c>
      <c r="I207" s="114">
        <f>(Simulation!$F$22-VLOOKUP(Simulation!$C$27,'Comparatif fiscal'!$B$8:$E$17,4,FALSE)-C207)*(B207=Simulation!$F$24*12)</f>
        <v>0</v>
      </c>
      <c r="J207" s="114">
        <f>(Simulation!$C$21+Simulation!$C$22)/12*(1+Simulation!$F$17)^INT((B207-1)/12)*(B207&lt;=Simulation!$F$24*12)</f>
        <v>0</v>
      </c>
      <c r="K207" s="114">
        <f>(H207*Simulation!$C$24+Simulation!$C$23/12*(1+Simulation!$F$15)^INT((B207-1)/12))*(B207&lt;=Simulation!$F$24*12)</f>
        <v>0</v>
      </c>
      <c r="L207" s="114">
        <f>Simulation!$C$19/12*(1+Simulation!$F$18)^INT((B207-1)/12)*(B207&lt;=Simulation!$F$24*12)</f>
        <v>0</v>
      </c>
      <c r="M207" s="114">
        <f>(Simulation!$C$20/12*(1+Simulation!$F$19)^INT((B207-1)/12)+F207)*(B207&lt;=Simulation!$F$24*12)</f>
        <v>0</v>
      </c>
      <c r="N207" s="114">
        <f ca="1">SUMIF('Détail fiscalité'!$B$8:$B$37,INT(B207/12),'Détail fiscalité'!$CI$8:$CI$37)/12+SUMIF('Détail fiscalité'!$B$8:$B$37,B207/12,'Détail fiscalité'!$CI$8:$CI$37)-SUMIF('Détail fiscalité'!$B$8:$B$37,B207/12-1,'Détail fiscalité'!$CI$8:$CI$37)</f>
        <v>0</v>
      </c>
      <c r="O207" s="116">
        <f t="shared" ca="1" si="22"/>
        <v>0</v>
      </c>
    </row>
    <row r="208" spans="2:15" x14ac:dyDescent="0.15">
      <c r="B208" s="40">
        <f t="shared" si="21"/>
        <v>201</v>
      </c>
      <c r="C208" s="113">
        <f>IF(B208&lt;=MIN(Simulation!$F$10*12+Simulation!$F$12*OR(Simulation!$F$11="Amortissable différé partiel",Simulation!$F$11="Amortissable différé total"),Simulation!$F$24*12),IF(AND(B208&lt;=Simulation!$F$12,OR(Simulation!$F$11="Amortissable différé partiel",Simulation!$F$11="Amortissable différé total")),C207*(1+(Simulation!$F$11="Amortissable différé total")*Simulation!$F$8/12),C207-D208),0)</f>
        <v>0</v>
      </c>
      <c r="D208" s="114">
        <f>IF(B208&lt;=MIN(Simulation!$F$10*12+Simulation!$F$12*OR(Simulation!$F$11="Amortissable différé partiel",Simulation!$F$11="Amortissable différé total"),Simulation!$F$24*12),G208-E208,0)</f>
        <v>0</v>
      </c>
      <c r="E208" s="114">
        <f>IF(B208&lt;=MIN(Simulation!$F$10*12+Simulation!$F$12*OR(Simulation!$F$11="Amortissable différé partiel",Simulation!$F$11="Amortissable différé total"),Simulation!$F$24*12),IF(AND(B208&lt;=Simulation!$F$12,Simulation!$F$11="Amortissable différé total"),0,C207*Simulation!$F$8/12),0)</f>
        <v>0</v>
      </c>
      <c r="F208" s="114">
        <f>IF(B208&lt;=MIN(Simulation!$F$10*12+Simulation!$F$12*OR(Simulation!$F$11="Amortissable différé partiel",Simulation!$F$11="Amortissable différé total"),Simulation!$F$24*12),Simulation!$E$33*Simulation!$F$9/12,0)</f>
        <v>0</v>
      </c>
      <c r="G208" s="115">
        <f>IF(B208&lt;=MIN(Simulation!$F$10*12+Simulation!$F$12*OR(Simulation!$F$11="Amortissable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partiel",IF(B208&lt;=Simulation!$F$12,Simulation!$E$33*Simulation!$F$8/12,PMT(Simulation!$F$8/12,Simulation!$F$10*12,-Simulation!$E$34)),IF(Simulation!$F$11="Amortissable différé total",IF(B208&lt;=Simulation!$F$12,0,PMT(Simulation!$F$8/12,Simulation!$F$10*12,-Simulation!$E$34)),IF(Simulation!$F$11="In fine",IF(B208=Simulation!$F$10*12,Simulation!$E$34,Simulation!$F$8*Simulation!$E$34/12),0)))),0)</f>
        <v>0</v>
      </c>
      <c r="H208" s="113">
        <f>Simulation!$C$16/12*(1+Simulation!$F$15)^INT((B208-1)/12)*(B208&lt;=Simulation!$F$24*12)</f>
        <v>0</v>
      </c>
      <c r="I208" s="114">
        <f>(Simulation!$F$22-VLOOKUP(Simulation!$C$27,'Comparatif fiscal'!$B$8:$E$17,4,FALSE)-C208)*(B208=Simulation!$F$24*12)</f>
        <v>0</v>
      </c>
      <c r="J208" s="114">
        <f>(Simulation!$C$21+Simulation!$C$22)/12*(1+Simulation!$F$17)^INT((B208-1)/12)*(B208&lt;=Simulation!$F$24*12)</f>
        <v>0</v>
      </c>
      <c r="K208" s="114">
        <f>(H208*Simulation!$C$24+Simulation!$C$23/12*(1+Simulation!$F$15)^INT((B208-1)/12))*(B208&lt;=Simulation!$F$24*12)</f>
        <v>0</v>
      </c>
      <c r="L208" s="114">
        <f>Simulation!$C$19/12*(1+Simulation!$F$18)^INT((B208-1)/12)*(B208&lt;=Simulation!$F$24*12)</f>
        <v>0</v>
      </c>
      <c r="M208" s="114">
        <f>(Simulation!$C$20/12*(1+Simulation!$F$19)^INT((B208-1)/12)+F208)*(B208&lt;=Simulation!$F$24*12)</f>
        <v>0</v>
      </c>
      <c r="N208" s="114">
        <f ca="1">SUMIF('Détail fiscalité'!$B$8:$B$37,INT(B208/12),'Détail fiscalité'!$CI$8:$CI$37)/12+SUMIF('Détail fiscalité'!$B$8:$B$37,B208/12,'Détail fiscalité'!$CI$8:$CI$37)-SUMIF('Détail fiscalité'!$B$8:$B$37,B208/12-1,'Détail fiscalité'!$CI$8:$CI$37)</f>
        <v>0</v>
      </c>
      <c r="O208" s="116">
        <f t="shared" ca="1" si="22"/>
        <v>0</v>
      </c>
    </row>
    <row r="209" spans="2:15" x14ac:dyDescent="0.15">
      <c r="B209" s="40">
        <f t="shared" si="21"/>
        <v>202</v>
      </c>
      <c r="C209" s="113">
        <f>IF(B209&lt;=MIN(Simulation!$F$10*12+Simulation!$F$12*OR(Simulation!$F$11="Amortissable différé partiel",Simulation!$F$11="Amortissable différé total"),Simulation!$F$24*12),IF(AND(B209&lt;=Simulation!$F$12,OR(Simulation!$F$11="Amortissable différé partiel",Simulation!$F$11="Amortissable différé total")),C208*(1+(Simulation!$F$11="Amortissable différé total")*Simulation!$F$8/12),C208-D209),0)</f>
        <v>0</v>
      </c>
      <c r="D209" s="114">
        <f>IF(B209&lt;=MIN(Simulation!$F$10*12+Simulation!$F$12*OR(Simulation!$F$11="Amortissable différé partiel",Simulation!$F$11="Amortissable différé total"),Simulation!$F$24*12),G209-E209,0)</f>
        <v>0</v>
      </c>
      <c r="E209" s="114">
        <f>IF(B209&lt;=MIN(Simulation!$F$10*12+Simulation!$F$12*OR(Simulation!$F$11="Amortissable différé partiel",Simulation!$F$11="Amortissable différé total"),Simulation!$F$24*12),IF(AND(B209&lt;=Simulation!$F$12,Simulation!$F$11="Amortissable différé total"),0,C208*Simulation!$F$8/12),0)</f>
        <v>0</v>
      </c>
      <c r="F209" s="114">
        <f>IF(B209&lt;=MIN(Simulation!$F$10*12+Simulation!$F$12*OR(Simulation!$F$11="Amortissable différé partiel",Simulation!$F$11="Amortissable différé total"),Simulation!$F$24*12),Simulation!$E$33*Simulation!$F$9/12,0)</f>
        <v>0</v>
      </c>
      <c r="G209" s="115">
        <f>IF(B209&lt;=MIN(Simulation!$F$10*12+Simulation!$F$12*OR(Simulation!$F$11="Amortissable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partiel",IF(B209&lt;=Simulation!$F$12,Simulation!$E$33*Simulation!$F$8/12,PMT(Simulation!$F$8/12,Simulation!$F$10*12,-Simulation!$E$34)),IF(Simulation!$F$11="Amortissable différé total",IF(B209&lt;=Simulation!$F$12,0,PMT(Simulation!$F$8/12,Simulation!$F$10*12,-Simulation!$E$34)),IF(Simulation!$F$11="In fine",IF(B209=Simulation!$F$10*12,Simulation!$E$34,Simulation!$F$8*Simulation!$E$34/12),0)))),0)</f>
        <v>0</v>
      </c>
      <c r="H209" s="113">
        <f>Simulation!$C$16/12*(1+Simulation!$F$15)^INT((B209-1)/12)*(B209&lt;=Simulation!$F$24*12)</f>
        <v>0</v>
      </c>
      <c r="I209" s="114">
        <f>(Simulation!$F$22-VLOOKUP(Simulation!$C$27,'Comparatif fiscal'!$B$8:$E$17,4,FALSE)-C209)*(B209=Simulation!$F$24*12)</f>
        <v>0</v>
      </c>
      <c r="J209" s="114">
        <f>(Simulation!$C$21+Simulation!$C$22)/12*(1+Simulation!$F$17)^INT((B209-1)/12)*(B209&lt;=Simulation!$F$24*12)</f>
        <v>0</v>
      </c>
      <c r="K209" s="114">
        <f>(H209*Simulation!$C$24+Simulation!$C$23/12*(1+Simulation!$F$15)^INT((B209-1)/12))*(B209&lt;=Simulation!$F$24*12)</f>
        <v>0</v>
      </c>
      <c r="L209" s="114">
        <f>Simulation!$C$19/12*(1+Simulation!$F$18)^INT((B209-1)/12)*(B209&lt;=Simulation!$F$24*12)</f>
        <v>0</v>
      </c>
      <c r="M209" s="114">
        <f>(Simulation!$C$20/12*(1+Simulation!$F$19)^INT((B209-1)/12)+F209)*(B209&lt;=Simulation!$F$24*12)</f>
        <v>0</v>
      </c>
      <c r="N209" s="114">
        <f ca="1">SUMIF('Détail fiscalité'!$B$8:$B$37,INT(B209/12),'Détail fiscalité'!$CI$8:$CI$37)/12+SUMIF('Détail fiscalité'!$B$8:$B$37,B209/12,'Détail fiscalité'!$CI$8:$CI$37)-SUMIF('Détail fiscalité'!$B$8:$B$37,B209/12-1,'Détail fiscalité'!$CI$8:$CI$37)</f>
        <v>0</v>
      </c>
      <c r="O209" s="116">
        <f t="shared" ca="1" si="22"/>
        <v>0</v>
      </c>
    </row>
    <row r="210" spans="2:15" x14ac:dyDescent="0.15">
      <c r="B210" s="40">
        <f t="shared" si="21"/>
        <v>203</v>
      </c>
      <c r="C210" s="113">
        <f>IF(B210&lt;=MIN(Simulation!$F$10*12+Simulation!$F$12*OR(Simulation!$F$11="Amortissable différé partiel",Simulation!$F$11="Amortissable différé total"),Simulation!$F$24*12),IF(AND(B210&lt;=Simulation!$F$12,OR(Simulation!$F$11="Amortissable différé partiel",Simulation!$F$11="Amortissable différé total")),C209*(1+(Simulation!$F$11="Amortissable différé total")*Simulation!$F$8/12),C209-D210),0)</f>
        <v>0</v>
      </c>
      <c r="D210" s="114">
        <f>IF(B210&lt;=MIN(Simulation!$F$10*12+Simulation!$F$12*OR(Simulation!$F$11="Amortissable différé partiel",Simulation!$F$11="Amortissable différé total"),Simulation!$F$24*12),G210-E210,0)</f>
        <v>0</v>
      </c>
      <c r="E210" s="114">
        <f>IF(B210&lt;=MIN(Simulation!$F$10*12+Simulation!$F$12*OR(Simulation!$F$11="Amortissable différé partiel",Simulation!$F$11="Amortissable différé total"),Simulation!$F$24*12),IF(AND(B210&lt;=Simulation!$F$12,Simulation!$F$11="Amortissable différé total"),0,C209*Simulation!$F$8/12),0)</f>
        <v>0</v>
      </c>
      <c r="F210" s="114">
        <f>IF(B210&lt;=MIN(Simulation!$F$10*12+Simulation!$F$12*OR(Simulation!$F$11="Amortissable différé partiel",Simulation!$F$11="Amortissable différé total"),Simulation!$F$24*12),Simulation!$E$33*Simulation!$F$9/12,0)</f>
        <v>0</v>
      </c>
      <c r="G210" s="115">
        <f>IF(B210&lt;=MIN(Simulation!$F$10*12+Simulation!$F$12*OR(Simulation!$F$11="Amortissable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partiel",IF(B210&lt;=Simulation!$F$12,Simulation!$E$33*Simulation!$F$8/12,PMT(Simulation!$F$8/12,Simulation!$F$10*12,-Simulation!$E$34)),IF(Simulation!$F$11="Amortissable différé total",IF(B210&lt;=Simulation!$F$12,0,PMT(Simulation!$F$8/12,Simulation!$F$10*12,-Simulation!$E$34)),IF(Simulation!$F$11="In fine",IF(B210=Simulation!$F$10*12,Simulation!$E$34,Simulation!$F$8*Simulation!$E$34/12),0)))),0)</f>
        <v>0</v>
      </c>
      <c r="H210" s="113">
        <f>Simulation!$C$16/12*(1+Simulation!$F$15)^INT((B210-1)/12)*(B210&lt;=Simulation!$F$24*12)</f>
        <v>0</v>
      </c>
      <c r="I210" s="114">
        <f>(Simulation!$F$22-VLOOKUP(Simulation!$C$27,'Comparatif fiscal'!$B$8:$E$17,4,FALSE)-C210)*(B210=Simulation!$F$24*12)</f>
        <v>0</v>
      </c>
      <c r="J210" s="114">
        <f>(Simulation!$C$21+Simulation!$C$22)/12*(1+Simulation!$F$17)^INT((B210-1)/12)*(B210&lt;=Simulation!$F$24*12)</f>
        <v>0</v>
      </c>
      <c r="K210" s="114">
        <f>(H210*Simulation!$C$24+Simulation!$C$23/12*(1+Simulation!$F$15)^INT((B210-1)/12))*(B210&lt;=Simulation!$F$24*12)</f>
        <v>0</v>
      </c>
      <c r="L210" s="114">
        <f>Simulation!$C$19/12*(1+Simulation!$F$18)^INT((B210-1)/12)*(B210&lt;=Simulation!$F$24*12)</f>
        <v>0</v>
      </c>
      <c r="M210" s="114">
        <f>(Simulation!$C$20/12*(1+Simulation!$F$19)^INT((B210-1)/12)+F210)*(B210&lt;=Simulation!$F$24*12)</f>
        <v>0</v>
      </c>
      <c r="N210" s="114">
        <f ca="1">SUMIF('Détail fiscalité'!$B$8:$B$37,INT(B210/12),'Détail fiscalité'!$CI$8:$CI$37)/12+SUMIF('Détail fiscalité'!$B$8:$B$37,B210/12,'Détail fiscalité'!$CI$8:$CI$37)-SUMIF('Détail fiscalité'!$B$8:$B$37,B210/12-1,'Détail fiscalité'!$CI$8:$CI$37)</f>
        <v>0</v>
      </c>
      <c r="O210" s="116">
        <f t="shared" ca="1" si="22"/>
        <v>0</v>
      </c>
    </row>
    <row r="211" spans="2:15" x14ac:dyDescent="0.15">
      <c r="B211" s="40">
        <f t="shared" si="21"/>
        <v>204</v>
      </c>
      <c r="C211" s="113">
        <f>IF(B211&lt;=MIN(Simulation!$F$10*12+Simulation!$F$12*OR(Simulation!$F$11="Amortissable différé partiel",Simulation!$F$11="Amortissable différé total"),Simulation!$F$24*12),IF(AND(B211&lt;=Simulation!$F$12,OR(Simulation!$F$11="Amortissable différé partiel",Simulation!$F$11="Amortissable différé total")),C210*(1+(Simulation!$F$11="Amortissable différé total")*Simulation!$F$8/12),C210-D211),0)</f>
        <v>0</v>
      </c>
      <c r="D211" s="114">
        <f>IF(B211&lt;=MIN(Simulation!$F$10*12+Simulation!$F$12*OR(Simulation!$F$11="Amortissable différé partiel",Simulation!$F$11="Amortissable différé total"),Simulation!$F$24*12),G211-E211,0)</f>
        <v>0</v>
      </c>
      <c r="E211" s="114">
        <f>IF(B211&lt;=MIN(Simulation!$F$10*12+Simulation!$F$12*OR(Simulation!$F$11="Amortissable différé partiel",Simulation!$F$11="Amortissable différé total"),Simulation!$F$24*12),IF(AND(B211&lt;=Simulation!$F$12,Simulation!$F$11="Amortissable différé total"),0,C210*Simulation!$F$8/12),0)</f>
        <v>0</v>
      </c>
      <c r="F211" s="114">
        <f>IF(B211&lt;=MIN(Simulation!$F$10*12+Simulation!$F$12*OR(Simulation!$F$11="Amortissable différé partiel",Simulation!$F$11="Amortissable différé total"),Simulation!$F$24*12),Simulation!$E$33*Simulation!$F$9/12,0)</f>
        <v>0</v>
      </c>
      <c r="G211" s="115">
        <f>IF(B211&lt;=MIN(Simulation!$F$10*12+Simulation!$F$12*OR(Simulation!$F$11="Amortissable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partiel",IF(B211&lt;=Simulation!$F$12,Simulation!$E$33*Simulation!$F$8/12,PMT(Simulation!$F$8/12,Simulation!$F$10*12,-Simulation!$E$34)),IF(Simulation!$F$11="Amortissable différé total",IF(B211&lt;=Simulation!$F$12,0,PMT(Simulation!$F$8/12,Simulation!$F$10*12,-Simulation!$E$34)),IF(Simulation!$F$11="In fine",IF(B211=Simulation!$F$10*12,Simulation!$E$34,Simulation!$F$8*Simulation!$E$34/12),0)))),0)</f>
        <v>0</v>
      </c>
      <c r="H211" s="113">
        <f>Simulation!$C$16/12*(1+Simulation!$F$15)^INT((B211-1)/12)*(B211&lt;=Simulation!$F$24*12)</f>
        <v>0</v>
      </c>
      <c r="I211" s="114">
        <f>(Simulation!$F$22-VLOOKUP(Simulation!$C$27,'Comparatif fiscal'!$B$8:$E$17,4,FALSE)-C211)*(B211=Simulation!$F$24*12)</f>
        <v>0</v>
      </c>
      <c r="J211" s="114">
        <f>(Simulation!$C$21+Simulation!$C$22)/12*(1+Simulation!$F$17)^INT((B211-1)/12)*(B211&lt;=Simulation!$F$24*12)</f>
        <v>0</v>
      </c>
      <c r="K211" s="114">
        <f>(H211*Simulation!$C$24+Simulation!$C$23/12*(1+Simulation!$F$15)^INT((B211-1)/12))*(B211&lt;=Simulation!$F$24*12)</f>
        <v>0</v>
      </c>
      <c r="L211" s="114">
        <f>Simulation!$C$19/12*(1+Simulation!$F$18)^INT((B211-1)/12)*(B211&lt;=Simulation!$F$24*12)</f>
        <v>0</v>
      </c>
      <c r="M211" s="114">
        <f>(Simulation!$C$20/12*(1+Simulation!$F$19)^INT((B211-1)/12)+F211)*(B211&lt;=Simulation!$F$24*12)</f>
        <v>0</v>
      </c>
      <c r="N211" s="114">
        <f ca="1">SUMIF('Détail fiscalité'!$B$8:$B$37,INT(B211/12),'Détail fiscalité'!$CI$8:$CI$37)/12+SUMIF('Détail fiscalité'!$B$8:$B$37,B211/12,'Détail fiscalité'!$CI$8:$CI$37)-SUMIF('Détail fiscalité'!$B$8:$B$37,B211/12-1,'Détail fiscalité'!$CI$8:$CI$37)</f>
        <v>0</v>
      </c>
      <c r="O211" s="116">
        <f t="shared" ca="1" si="22"/>
        <v>0</v>
      </c>
    </row>
    <row r="212" spans="2:15" x14ac:dyDescent="0.15">
      <c r="B212" s="40">
        <f t="shared" si="21"/>
        <v>205</v>
      </c>
      <c r="C212" s="113">
        <f>IF(B212&lt;=MIN(Simulation!$F$10*12+Simulation!$F$12*OR(Simulation!$F$11="Amortissable différé partiel",Simulation!$F$11="Amortissable différé total"),Simulation!$F$24*12),IF(AND(B212&lt;=Simulation!$F$12,OR(Simulation!$F$11="Amortissable différé partiel",Simulation!$F$11="Amortissable différé total")),C211*(1+(Simulation!$F$11="Amortissable différé total")*Simulation!$F$8/12),C211-D212),0)</f>
        <v>0</v>
      </c>
      <c r="D212" s="114">
        <f>IF(B212&lt;=MIN(Simulation!$F$10*12+Simulation!$F$12*OR(Simulation!$F$11="Amortissable différé partiel",Simulation!$F$11="Amortissable différé total"),Simulation!$F$24*12),G212-E212,0)</f>
        <v>0</v>
      </c>
      <c r="E212" s="114">
        <f>IF(B212&lt;=MIN(Simulation!$F$10*12+Simulation!$F$12*OR(Simulation!$F$11="Amortissable différé partiel",Simulation!$F$11="Amortissable différé total"),Simulation!$F$24*12),IF(AND(B212&lt;=Simulation!$F$12,Simulation!$F$11="Amortissable différé total"),0,C211*Simulation!$F$8/12),0)</f>
        <v>0</v>
      </c>
      <c r="F212" s="114">
        <f>IF(B212&lt;=MIN(Simulation!$F$10*12+Simulation!$F$12*OR(Simulation!$F$11="Amortissable différé partiel",Simulation!$F$11="Amortissable différé total"),Simulation!$F$24*12),Simulation!$E$33*Simulation!$F$9/12,0)</f>
        <v>0</v>
      </c>
      <c r="G212" s="115">
        <f>IF(B212&lt;=MIN(Simulation!$F$10*12+Simulation!$F$12*OR(Simulation!$F$11="Amortissable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partiel",IF(B212&lt;=Simulation!$F$12,Simulation!$E$33*Simulation!$F$8/12,PMT(Simulation!$F$8/12,Simulation!$F$10*12,-Simulation!$E$34)),IF(Simulation!$F$11="Amortissable différé total",IF(B212&lt;=Simulation!$F$12,0,PMT(Simulation!$F$8/12,Simulation!$F$10*12,-Simulation!$E$34)),IF(Simulation!$F$11="In fine",IF(B212=Simulation!$F$10*12,Simulation!$E$34,Simulation!$F$8*Simulation!$E$34/12),0)))),0)</f>
        <v>0</v>
      </c>
      <c r="H212" s="113">
        <f>Simulation!$C$16/12*(1+Simulation!$F$15)^INT((B212-1)/12)*(B212&lt;=Simulation!$F$24*12)</f>
        <v>0</v>
      </c>
      <c r="I212" s="114">
        <f>(Simulation!$F$22-VLOOKUP(Simulation!$C$27,'Comparatif fiscal'!$B$8:$E$17,4,FALSE)-C212)*(B212=Simulation!$F$24*12)</f>
        <v>0</v>
      </c>
      <c r="J212" s="114">
        <f>(Simulation!$C$21+Simulation!$C$22)/12*(1+Simulation!$F$17)^INT((B212-1)/12)*(B212&lt;=Simulation!$F$24*12)</f>
        <v>0</v>
      </c>
      <c r="K212" s="114">
        <f>(H212*Simulation!$C$24+Simulation!$C$23/12*(1+Simulation!$F$15)^INT((B212-1)/12))*(B212&lt;=Simulation!$F$24*12)</f>
        <v>0</v>
      </c>
      <c r="L212" s="114">
        <f>Simulation!$C$19/12*(1+Simulation!$F$18)^INT((B212-1)/12)*(B212&lt;=Simulation!$F$24*12)</f>
        <v>0</v>
      </c>
      <c r="M212" s="114">
        <f>(Simulation!$C$20/12*(1+Simulation!$F$19)^INT((B212-1)/12)+F212)*(B212&lt;=Simulation!$F$24*12)</f>
        <v>0</v>
      </c>
      <c r="N212" s="114">
        <f ca="1">SUMIF('Détail fiscalité'!$B$8:$B$37,INT(B212/12),'Détail fiscalité'!$CI$8:$CI$37)/12+SUMIF('Détail fiscalité'!$B$8:$B$37,B212/12,'Détail fiscalité'!$CI$8:$CI$37)-SUMIF('Détail fiscalité'!$B$8:$B$37,B212/12-1,'Détail fiscalité'!$CI$8:$CI$37)</f>
        <v>0</v>
      </c>
      <c r="O212" s="116">
        <f t="shared" ca="1" si="22"/>
        <v>0</v>
      </c>
    </row>
    <row r="213" spans="2:15" x14ac:dyDescent="0.15">
      <c r="B213" s="40">
        <f t="shared" si="21"/>
        <v>206</v>
      </c>
      <c r="C213" s="113">
        <f>IF(B213&lt;=MIN(Simulation!$F$10*12+Simulation!$F$12*OR(Simulation!$F$11="Amortissable différé partiel",Simulation!$F$11="Amortissable différé total"),Simulation!$F$24*12),IF(AND(B213&lt;=Simulation!$F$12,OR(Simulation!$F$11="Amortissable différé partiel",Simulation!$F$11="Amortissable différé total")),C212*(1+(Simulation!$F$11="Amortissable différé total")*Simulation!$F$8/12),C212-D213),0)</f>
        <v>0</v>
      </c>
      <c r="D213" s="114">
        <f>IF(B213&lt;=MIN(Simulation!$F$10*12+Simulation!$F$12*OR(Simulation!$F$11="Amortissable différé partiel",Simulation!$F$11="Amortissable différé total"),Simulation!$F$24*12),G213-E213,0)</f>
        <v>0</v>
      </c>
      <c r="E213" s="114">
        <f>IF(B213&lt;=MIN(Simulation!$F$10*12+Simulation!$F$12*OR(Simulation!$F$11="Amortissable différé partiel",Simulation!$F$11="Amortissable différé total"),Simulation!$F$24*12),IF(AND(B213&lt;=Simulation!$F$12,Simulation!$F$11="Amortissable différé total"),0,C212*Simulation!$F$8/12),0)</f>
        <v>0</v>
      </c>
      <c r="F213" s="114">
        <f>IF(B213&lt;=MIN(Simulation!$F$10*12+Simulation!$F$12*OR(Simulation!$F$11="Amortissable différé partiel",Simulation!$F$11="Amortissable différé total"),Simulation!$F$24*12),Simulation!$E$33*Simulation!$F$9/12,0)</f>
        <v>0</v>
      </c>
      <c r="G213" s="115">
        <f>IF(B213&lt;=MIN(Simulation!$F$10*12+Simulation!$F$12*OR(Simulation!$F$11="Amortissable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partiel",IF(B213&lt;=Simulation!$F$12,Simulation!$E$33*Simulation!$F$8/12,PMT(Simulation!$F$8/12,Simulation!$F$10*12,-Simulation!$E$34)),IF(Simulation!$F$11="Amortissable différé total",IF(B213&lt;=Simulation!$F$12,0,PMT(Simulation!$F$8/12,Simulation!$F$10*12,-Simulation!$E$34)),IF(Simulation!$F$11="In fine",IF(B213=Simulation!$F$10*12,Simulation!$E$34,Simulation!$F$8*Simulation!$E$34/12),0)))),0)</f>
        <v>0</v>
      </c>
      <c r="H213" s="113">
        <f>Simulation!$C$16/12*(1+Simulation!$F$15)^INT((B213-1)/12)*(B213&lt;=Simulation!$F$24*12)</f>
        <v>0</v>
      </c>
      <c r="I213" s="114">
        <f>(Simulation!$F$22-VLOOKUP(Simulation!$C$27,'Comparatif fiscal'!$B$8:$E$17,4,FALSE)-C213)*(B213=Simulation!$F$24*12)</f>
        <v>0</v>
      </c>
      <c r="J213" s="114">
        <f>(Simulation!$C$21+Simulation!$C$22)/12*(1+Simulation!$F$17)^INT((B213-1)/12)*(B213&lt;=Simulation!$F$24*12)</f>
        <v>0</v>
      </c>
      <c r="K213" s="114">
        <f>(H213*Simulation!$C$24+Simulation!$C$23/12*(1+Simulation!$F$15)^INT((B213-1)/12))*(B213&lt;=Simulation!$F$24*12)</f>
        <v>0</v>
      </c>
      <c r="L213" s="114">
        <f>Simulation!$C$19/12*(1+Simulation!$F$18)^INT((B213-1)/12)*(B213&lt;=Simulation!$F$24*12)</f>
        <v>0</v>
      </c>
      <c r="M213" s="114">
        <f>(Simulation!$C$20/12*(1+Simulation!$F$19)^INT((B213-1)/12)+F213)*(B213&lt;=Simulation!$F$24*12)</f>
        <v>0</v>
      </c>
      <c r="N213" s="114">
        <f ca="1">SUMIF('Détail fiscalité'!$B$8:$B$37,INT(B213/12),'Détail fiscalité'!$CI$8:$CI$37)/12+SUMIF('Détail fiscalité'!$B$8:$B$37,B213/12,'Détail fiscalité'!$CI$8:$CI$37)-SUMIF('Détail fiscalité'!$B$8:$B$37,B213/12-1,'Détail fiscalité'!$CI$8:$CI$37)</f>
        <v>0</v>
      </c>
      <c r="O213" s="116">
        <f t="shared" ca="1" si="22"/>
        <v>0</v>
      </c>
    </row>
    <row r="214" spans="2:15" x14ac:dyDescent="0.15">
      <c r="B214" s="40">
        <f t="shared" si="21"/>
        <v>207</v>
      </c>
      <c r="C214" s="113">
        <f>IF(B214&lt;=MIN(Simulation!$F$10*12+Simulation!$F$12*OR(Simulation!$F$11="Amortissable différé partiel",Simulation!$F$11="Amortissable différé total"),Simulation!$F$24*12),IF(AND(B214&lt;=Simulation!$F$12,OR(Simulation!$F$11="Amortissable différé partiel",Simulation!$F$11="Amortissable différé total")),C213*(1+(Simulation!$F$11="Amortissable différé total")*Simulation!$F$8/12),C213-D214),0)</f>
        <v>0</v>
      </c>
      <c r="D214" s="114">
        <f>IF(B214&lt;=MIN(Simulation!$F$10*12+Simulation!$F$12*OR(Simulation!$F$11="Amortissable différé partiel",Simulation!$F$11="Amortissable différé total"),Simulation!$F$24*12),G214-E214,0)</f>
        <v>0</v>
      </c>
      <c r="E214" s="114">
        <f>IF(B214&lt;=MIN(Simulation!$F$10*12+Simulation!$F$12*OR(Simulation!$F$11="Amortissable différé partiel",Simulation!$F$11="Amortissable différé total"),Simulation!$F$24*12),IF(AND(B214&lt;=Simulation!$F$12,Simulation!$F$11="Amortissable différé total"),0,C213*Simulation!$F$8/12),0)</f>
        <v>0</v>
      </c>
      <c r="F214" s="114">
        <f>IF(B214&lt;=MIN(Simulation!$F$10*12+Simulation!$F$12*OR(Simulation!$F$11="Amortissable différé partiel",Simulation!$F$11="Amortissable différé total"),Simulation!$F$24*12),Simulation!$E$33*Simulation!$F$9/12,0)</f>
        <v>0</v>
      </c>
      <c r="G214" s="115">
        <f>IF(B214&lt;=MIN(Simulation!$F$10*12+Simulation!$F$12*OR(Simulation!$F$11="Amortissable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partiel",IF(B214&lt;=Simulation!$F$12,Simulation!$E$33*Simulation!$F$8/12,PMT(Simulation!$F$8/12,Simulation!$F$10*12,-Simulation!$E$34)),IF(Simulation!$F$11="Amortissable différé total",IF(B214&lt;=Simulation!$F$12,0,PMT(Simulation!$F$8/12,Simulation!$F$10*12,-Simulation!$E$34)),IF(Simulation!$F$11="In fine",IF(B214=Simulation!$F$10*12,Simulation!$E$34,Simulation!$F$8*Simulation!$E$34/12),0)))),0)</f>
        <v>0</v>
      </c>
      <c r="H214" s="113">
        <f>Simulation!$C$16/12*(1+Simulation!$F$15)^INT((B214-1)/12)*(B214&lt;=Simulation!$F$24*12)</f>
        <v>0</v>
      </c>
      <c r="I214" s="114">
        <f>(Simulation!$F$22-VLOOKUP(Simulation!$C$27,'Comparatif fiscal'!$B$8:$E$17,4,FALSE)-C214)*(B214=Simulation!$F$24*12)</f>
        <v>0</v>
      </c>
      <c r="J214" s="114">
        <f>(Simulation!$C$21+Simulation!$C$22)/12*(1+Simulation!$F$17)^INT((B214-1)/12)*(B214&lt;=Simulation!$F$24*12)</f>
        <v>0</v>
      </c>
      <c r="K214" s="114">
        <f>(H214*Simulation!$C$24+Simulation!$C$23/12*(1+Simulation!$F$15)^INT((B214-1)/12))*(B214&lt;=Simulation!$F$24*12)</f>
        <v>0</v>
      </c>
      <c r="L214" s="114">
        <f>Simulation!$C$19/12*(1+Simulation!$F$18)^INT((B214-1)/12)*(B214&lt;=Simulation!$F$24*12)</f>
        <v>0</v>
      </c>
      <c r="M214" s="114">
        <f>(Simulation!$C$20/12*(1+Simulation!$F$19)^INT((B214-1)/12)+F214)*(B214&lt;=Simulation!$F$24*12)</f>
        <v>0</v>
      </c>
      <c r="N214" s="114">
        <f ca="1">SUMIF('Détail fiscalité'!$B$8:$B$37,INT(B214/12),'Détail fiscalité'!$CI$8:$CI$37)/12+SUMIF('Détail fiscalité'!$B$8:$B$37,B214/12,'Détail fiscalité'!$CI$8:$CI$37)-SUMIF('Détail fiscalité'!$B$8:$B$37,B214/12-1,'Détail fiscalité'!$CI$8:$CI$37)</f>
        <v>0</v>
      </c>
      <c r="O214" s="116">
        <f t="shared" ca="1" si="22"/>
        <v>0</v>
      </c>
    </row>
    <row r="215" spans="2:15" x14ac:dyDescent="0.15">
      <c r="B215" s="40">
        <f t="shared" si="21"/>
        <v>208</v>
      </c>
      <c r="C215" s="113">
        <f>IF(B215&lt;=MIN(Simulation!$F$10*12+Simulation!$F$12*OR(Simulation!$F$11="Amortissable différé partiel",Simulation!$F$11="Amortissable différé total"),Simulation!$F$24*12),IF(AND(B215&lt;=Simulation!$F$12,OR(Simulation!$F$11="Amortissable différé partiel",Simulation!$F$11="Amortissable différé total")),C214*(1+(Simulation!$F$11="Amortissable différé total")*Simulation!$F$8/12),C214-D215),0)</f>
        <v>0</v>
      </c>
      <c r="D215" s="114">
        <f>IF(B215&lt;=MIN(Simulation!$F$10*12+Simulation!$F$12*OR(Simulation!$F$11="Amortissable différé partiel",Simulation!$F$11="Amortissable différé total"),Simulation!$F$24*12),G215-E215,0)</f>
        <v>0</v>
      </c>
      <c r="E215" s="114">
        <f>IF(B215&lt;=MIN(Simulation!$F$10*12+Simulation!$F$12*OR(Simulation!$F$11="Amortissable différé partiel",Simulation!$F$11="Amortissable différé total"),Simulation!$F$24*12),IF(AND(B215&lt;=Simulation!$F$12,Simulation!$F$11="Amortissable différé total"),0,C214*Simulation!$F$8/12),0)</f>
        <v>0</v>
      </c>
      <c r="F215" s="114">
        <f>IF(B215&lt;=MIN(Simulation!$F$10*12+Simulation!$F$12*OR(Simulation!$F$11="Amortissable différé partiel",Simulation!$F$11="Amortissable différé total"),Simulation!$F$24*12),Simulation!$E$33*Simulation!$F$9/12,0)</f>
        <v>0</v>
      </c>
      <c r="G215" s="115">
        <f>IF(B215&lt;=MIN(Simulation!$F$10*12+Simulation!$F$12*OR(Simulation!$F$11="Amortissable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partiel",IF(B215&lt;=Simulation!$F$12,Simulation!$E$33*Simulation!$F$8/12,PMT(Simulation!$F$8/12,Simulation!$F$10*12,-Simulation!$E$34)),IF(Simulation!$F$11="Amortissable différé total",IF(B215&lt;=Simulation!$F$12,0,PMT(Simulation!$F$8/12,Simulation!$F$10*12,-Simulation!$E$34)),IF(Simulation!$F$11="In fine",IF(B215=Simulation!$F$10*12,Simulation!$E$34,Simulation!$F$8*Simulation!$E$34/12),0)))),0)</f>
        <v>0</v>
      </c>
      <c r="H215" s="113">
        <f>Simulation!$C$16/12*(1+Simulation!$F$15)^INT((B215-1)/12)*(B215&lt;=Simulation!$F$24*12)</f>
        <v>0</v>
      </c>
      <c r="I215" s="114">
        <f>(Simulation!$F$22-VLOOKUP(Simulation!$C$27,'Comparatif fiscal'!$B$8:$E$17,4,FALSE)-C215)*(B215=Simulation!$F$24*12)</f>
        <v>0</v>
      </c>
      <c r="J215" s="114">
        <f>(Simulation!$C$21+Simulation!$C$22)/12*(1+Simulation!$F$17)^INT((B215-1)/12)*(B215&lt;=Simulation!$F$24*12)</f>
        <v>0</v>
      </c>
      <c r="K215" s="114">
        <f>(H215*Simulation!$C$24+Simulation!$C$23/12*(1+Simulation!$F$15)^INT((B215-1)/12))*(B215&lt;=Simulation!$F$24*12)</f>
        <v>0</v>
      </c>
      <c r="L215" s="114">
        <f>Simulation!$C$19/12*(1+Simulation!$F$18)^INT((B215-1)/12)*(B215&lt;=Simulation!$F$24*12)</f>
        <v>0</v>
      </c>
      <c r="M215" s="114">
        <f>(Simulation!$C$20/12*(1+Simulation!$F$19)^INT((B215-1)/12)+F215)*(B215&lt;=Simulation!$F$24*12)</f>
        <v>0</v>
      </c>
      <c r="N215" s="114">
        <f ca="1">SUMIF('Détail fiscalité'!$B$8:$B$37,INT(B215/12),'Détail fiscalité'!$CI$8:$CI$37)/12+SUMIF('Détail fiscalité'!$B$8:$B$37,B215/12,'Détail fiscalité'!$CI$8:$CI$37)-SUMIF('Détail fiscalité'!$B$8:$B$37,B215/12-1,'Détail fiscalité'!$CI$8:$CI$37)</f>
        <v>0</v>
      </c>
      <c r="O215" s="116">
        <f t="shared" ca="1" si="22"/>
        <v>0</v>
      </c>
    </row>
    <row r="216" spans="2:15" x14ac:dyDescent="0.15">
      <c r="B216" s="40">
        <f t="shared" si="21"/>
        <v>209</v>
      </c>
      <c r="C216" s="113">
        <f>IF(B216&lt;=MIN(Simulation!$F$10*12+Simulation!$F$12*OR(Simulation!$F$11="Amortissable différé partiel",Simulation!$F$11="Amortissable différé total"),Simulation!$F$24*12),IF(AND(B216&lt;=Simulation!$F$12,OR(Simulation!$F$11="Amortissable différé partiel",Simulation!$F$11="Amortissable différé total")),C215*(1+(Simulation!$F$11="Amortissable différé total")*Simulation!$F$8/12),C215-D216),0)</f>
        <v>0</v>
      </c>
      <c r="D216" s="114">
        <f>IF(B216&lt;=MIN(Simulation!$F$10*12+Simulation!$F$12*OR(Simulation!$F$11="Amortissable différé partiel",Simulation!$F$11="Amortissable différé total"),Simulation!$F$24*12),G216-E216,0)</f>
        <v>0</v>
      </c>
      <c r="E216" s="114">
        <f>IF(B216&lt;=MIN(Simulation!$F$10*12+Simulation!$F$12*OR(Simulation!$F$11="Amortissable différé partiel",Simulation!$F$11="Amortissable différé total"),Simulation!$F$24*12),IF(AND(B216&lt;=Simulation!$F$12,Simulation!$F$11="Amortissable différé total"),0,C215*Simulation!$F$8/12),0)</f>
        <v>0</v>
      </c>
      <c r="F216" s="114">
        <f>IF(B216&lt;=MIN(Simulation!$F$10*12+Simulation!$F$12*OR(Simulation!$F$11="Amortissable différé partiel",Simulation!$F$11="Amortissable différé total"),Simulation!$F$24*12),Simulation!$E$33*Simulation!$F$9/12,0)</f>
        <v>0</v>
      </c>
      <c r="G216" s="115">
        <f>IF(B216&lt;=MIN(Simulation!$F$10*12+Simulation!$F$12*OR(Simulation!$F$11="Amortissable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partiel",IF(B216&lt;=Simulation!$F$12,Simulation!$E$33*Simulation!$F$8/12,PMT(Simulation!$F$8/12,Simulation!$F$10*12,-Simulation!$E$34)),IF(Simulation!$F$11="Amortissable différé total",IF(B216&lt;=Simulation!$F$12,0,PMT(Simulation!$F$8/12,Simulation!$F$10*12,-Simulation!$E$34)),IF(Simulation!$F$11="In fine",IF(B216=Simulation!$F$10*12,Simulation!$E$34,Simulation!$F$8*Simulation!$E$34/12),0)))),0)</f>
        <v>0</v>
      </c>
      <c r="H216" s="113">
        <f>Simulation!$C$16/12*(1+Simulation!$F$15)^INT((B216-1)/12)*(B216&lt;=Simulation!$F$24*12)</f>
        <v>0</v>
      </c>
      <c r="I216" s="114">
        <f>(Simulation!$F$22-VLOOKUP(Simulation!$C$27,'Comparatif fiscal'!$B$8:$E$17,4,FALSE)-C216)*(B216=Simulation!$F$24*12)</f>
        <v>0</v>
      </c>
      <c r="J216" s="114">
        <f>(Simulation!$C$21+Simulation!$C$22)/12*(1+Simulation!$F$17)^INT((B216-1)/12)*(B216&lt;=Simulation!$F$24*12)</f>
        <v>0</v>
      </c>
      <c r="K216" s="114">
        <f>(H216*Simulation!$C$24+Simulation!$C$23/12*(1+Simulation!$F$15)^INT((B216-1)/12))*(B216&lt;=Simulation!$F$24*12)</f>
        <v>0</v>
      </c>
      <c r="L216" s="114">
        <f>Simulation!$C$19/12*(1+Simulation!$F$18)^INT((B216-1)/12)*(B216&lt;=Simulation!$F$24*12)</f>
        <v>0</v>
      </c>
      <c r="M216" s="114">
        <f>(Simulation!$C$20/12*(1+Simulation!$F$19)^INT((B216-1)/12)+F216)*(B216&lt;=Simulation!$F$24*12)</f>
        <v>0</v>
      </c>
      <c r="N216" s="114">
        <f ca="1">SUMIF('Détail fiscalité'!$B$8:$B$37,INT(B216/12),'Détail fiscalité'!$CI$8:$CI$37)/12+SUMIF('Détail fiscalité'!$B$8:$B$37,B216/12,'Détail fiscalité'!$CI$8:$CI$37)-SUMIF('Détail fiscalité'!$B$8:$B$37,B216/12-1,'Détail fiscalité'!$CI$8:$CI$37)</f>
        <v>0</v>
      </c>
      <c r="O216" s="116">
        <f t="shared" ca="1" si="22"/>
        <v>0</v>
      </c>
    </row>
    <row r="217" spans="2:15" x14ac:dyDescent="0.15">
      <c r="B217" s="40">
        <f t="shared" si="21"/>
        <v>210</v>
      </c>
      <c r="C217" s="113">
        <f>IF(B217&lt;=MIN(Simulation!$F$10*12+Simulation!$F$12*OR(Simulation!$F$11="Amortissable différé partiel",Simulation!$F$11="Amortissable différé total"),Simulation!$F$24*12),IF(AND(B217&lt;=Simulation!$F$12,OR(Simulation!$F$11="Amortissable différé partiel",Simulation!$F$11="Amortissable différé total")),C216*(1+(Simulation!$F$11="Amortissable différé total")*Simulation!$F$8/12),C216-D217),0)</f>
        <v>0</v>
      </c>
      <c r="D217" s="114">
        <f>IF(B217&lt;=MIN(Simulation!$F$10*12+Simulation!$F$12*OR(Simulation!$F$11="Amortissable différé partiel",Simulation!$F$11="Amortissable différé total"),Simulation!$F$24*12),G217-E217,0)</f>
        <v>0</v>
      </c>
      <c r="E217" s="114">
        <f>IF(B217&lt;=MIN(Simulation!$F$10*12+Simulation!$F$12*OR(Simulation!$F$11="Amortissable différé partiel",Simulation!$F$11="Amortissable différé total"),Simulation!$F$24*12),IF(AND(B217&lt;=Simulation!$F$12,Simulation!$F$11="Amortissable différé total"),0,C216*Simulation!$F$8/12),0)</f>
        <v>0</v>
      </c>
      <c r="F217" s="114">
        <f>IF(B217&lt;=MIN(Simulation!$F$10*12+Simulation!$F$12*OR(Simulation!$F$11="Amortissable différé partiel",Simulation!$F$11="Amortissable différé total"),Simulation!$F$24*12),Simulation!$E$33*Simulation!$F$9/12,0)</f>
        <v>0</v>
      </c>
      <c r="G217" s="115">
        <f>IF(B217&lt;=MIN(Simulation!$F$10*12+Simulation!$F$12*OR(Simulation!$F$11="Amortissable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partiel",IF(B217&lt;=Simulation!$F$12,Simulation!$E$33*Simulation!$F$8/12,PMT(Simulation!$F$8/12,Simulation!$F$10*12,-Simulation!$E$34)),IF(Simulation!$F$11="Amortissable différé total",IF(B217&lt;=Simulation!$F$12,0,PMT(Simulation!$F$8/12,Simulation!$F$10*12,-Simulation!$E$34)),IF(Simulation!$F$11="In fine",IF(B217=Simulation!$F$10*12,Simulation!$E$34,Simulation!$F$8*Simulation!$E$34/12),0)))),0)</f>
        <v>0</v>
      </c>
      <c r="H217" s="113">
        <f>Simulation!$C$16/12*(1+Simulation!$F$15)^INT((B217-1)/12)*(B217&lt;=Simulation!$F$24*12)</f>
        <v>0</v>
      </c>
      <c r="I217" s="114">
        <f>(Simulation!$F$22-VLOOKUP(Simulation!$C$27,'Comparatif fiscal'!$B$8:$E$17,4,FALSE)-C217)*(B217=Simulation!$F$24*12)</f>
        <v>0</v>
      </c>
      <c r="J217" s="114">
        <f>(Simulation!$C$21+Simulation!$C$22)/12*(1+Simulation!$F$17)^INT((B217-1)/12)*(B217&lt;=Simulation!$F$24*12)</f>
        <v>0</v>
      </c>
      <c r="K217" s="114">
        <f>(H217*Simulation!$C$24+Simulation!$C$23/12*(1+Simulation!$F$15)^INT((B217-1)/12))*(B217&lt;=Simulation!$F$24*12)</f>
        <v>0</v>
      </c>
      <c r="L217" s="114">
        <f>Simulation!$C$19/12*(1+Simulation!$F$18)^INT((B217-1)/12)*(B217&lt;=Simulation!$F$24*12)</f>
        <v>0</v>
      </c>
      <c r="M217" s="114">
        <f>(Simulation!$C$20/12*(1+Simulation!$F$19)^INT((B217-1)/12)+F217)*(B217&lt;=Simulation!$F$24*12)</f>
        <v>0</v>
      </c>
      <c r="N217" s="114">
        <f ca="1">SUMIF('Détail fiscalité'!$B$8:$B$37,INT(B217/12),'Détail fiscalité'!$CI$8:$CI$37)/12+SUMIF('Détail fiscalité'!$B$8:$B$37,B217/12,'Détail fiscalité'!$CI$8:$CI$37)-SUMIF('Détail fiscalité'!$B$8:$B$37,B217/12-1,'Détail fiscalité'!$CI$8:$CI$37)</f>
        <v>0</v>
      </c>
      <c r="O217" s="116">
        <f t="shared" ca="1" si="22"/>
        <v>0</v>
      </c>
    </row>
    <row r="218" spans="2:15" x14ac:dyDescent="0.15">
      <c r="B218" s="40">
        <f t="shared" si="21"/>
        <v>211</v>
      </c>
      <c r="C218" s="113">
        <f>IF(B218&lt;=MIN(Simulation!$F$10*12+Simulation!$F$12*OR(Simulation!$F$11="Amortissable différé partiel",Simulation!$F$11="Amortissable différé total"),Simulation!$F$24*12),IF(AND(B218&lt;=Simulation!$F$12,OR(Simulation!$F$11="Amortissable différé partiel",Simulation!$F$11="Amortissable différé total")),C217*(1+(Simulation!$F$11="Amortissable différé total")*Simulation!$F$8/12),C217-D218),0)</f>
        <v>0</v>
      </c>
      <c r="D218" s="114">
        <f>IF(B218&lt;=MIN(Simulation!$F$10*12+Simulation!$F$12*OR(Simulation!$F$11="Amortissable différé partiel",Simulation!$F$11="Amortissable différé total"),Simulation!$F$24*12),G218-E218,0)</f>
        <v>0</v>
      </c>
      <c r="E218" s="114">
        <f>IF(B218&lt;=MIN(Simulation!$F$10*12+Simulation!$F$12*OR(Simulation!$F$11="Amortissable différé partiel",Simulation!$F$11="Amortissable différé total"),Simulation!$F$24*12),IF(AND(B218&lt;=Simulation!$F$12,Simulation!$F$11="Amortissable différé total"),0,C217*Simulation!$F$8/12),0)</f>
        <v>0</v>
      </c>
      <c r="F218" s="114">
        <f>IF(B218&lt;=MIN(Simulation!$F$10*12+Simulation!$F$12*OR(Simulation!$F$11="Amortissable différé partiel",Simulation!$F$11="Amortissable différé total"),Simulation!$F$24*12),Simulation!$E$33*Simulation!$F$9/12,0)</f>
        <v>0</v>
      </c>
      <c r="G218" s="115">
        <f>IF(B218&lt;=MIN(Simulation!$F$10*12+Simulation!$F$12*OR(Simulation!$F$11="Amortissable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partiel",IF(B218&lt;=Simulation!$F$12,Simulation!$E$33*Simulation!$F$8/12,PMT(Simulation!$F$8/12,Simulation!$F$10*12,-Simulation!$E$34)),IF(Simulation!$F$11="Amortissable différé total",IF(B218&lt;=Simulation!$F$12,0,PMT(Simulation!$F$8/12,Simulation!$F$10*12,-Simulation!$E$34)),IF(Simulation!$F$11="In fine",IF(B218=Simulation!$F$10*12,Simulation!$E$34,Simulation!$F$8*Simulation!$E$34/12),0)))),0)</f>
        <v>0</v>
      </c>
      <c r="H218" s="113">
        <f>Simulation!$C$16/12*(1+Simulation!$F$15)^INT((B218-1)/12)*(B218&lt;=Simulation!$F$24*12)</f>
        <v>0</v>
      </c>
      <c r="I218" s="114">
        <f>(Simulation!$F$22-VLOOKUP(Simulation!$C$27,'Comparatif fiscal'!$B$8:$E$17,4,FALSE)-C218)*(B218=Simulation!$F$24*12)</f>
        <v>0</v>
      </c>
      <c r="J218" s="114">
        <f>(Simulation!$C$21+Simulation!$C$22)/12*(1+Simulation!$F$17)^INT((B218-1)/12)*(B218&lt;=Simulation!$F$24*12)</f>
        <v>0</v>
      </c>
      <c r="K218" s="114">
        <f>(H218*Simulation!$C$24+Simulation!$C$23/12*(1+Simulation!$F$15)^INT((B218-1)/12))*(B218&lt;=Simulation!$F$24*12)</f>
        <v>0</v>
      </c>
      <c r="L218" s="114">
        <f>Simulation!$C$19/12*(1+Simulation!$F$18)^INT((B218-1)/12)*(B218&lt;=Simulation!$F$24*12)</f>
        <v>0</v>
      </c>
      <c r="M218" s="114">
        <f>(Simulation!$C$20/12*(1+Simulation!$F$19)^INT((B218-1)/12)+F218)*(B218&lt;=Simulation!$F$24*12)</f>
        <v>0</v>
      </c>
      <c r="N218" s="114">
        <f ca="1">SUMIF('Détail fiscalité'!$B$8:$B$37,INT(B218/12),'Détail fiscalité'!$CI$8:$CI$37)/12+SUMIF('Détail fiscalité'!$B$8:$B$37,B218/12,'Détail fiscalité'!$CI$8:$CI$37)-SUMIF('Détail fiscalité'!$B$8:$B$37,B218/12-1,'Détail fiscalité'!$CI$8:$CI$37)</f>
        <v>0</v>
      </c>
      <c r="O218" s="116">
        <f t="shared" ca="1" si="22"/>
        <v>0</v>
      </c>
    </row>
    <row r="219" spans="2:15" x14ac:dyDescent="0.15">
      <c r="B219" s="40">
        <f t="shared" si="21"/>
        <v>212</v>
      </c>
      <c r="C219" s="113">
        <f>IF(B219&lt;=MIN(Simulation!$F$10*12+Simulation!$F$12*OR(Simulation!$F$11="Amortissable différé partiel",Simulation!$F$11="Amortissable différé total"),Simulation!$F$24*12),IF(AND(B219&lt;=Simulation!$F$12,OR(Simulation!$F$11="Amortissable différé partiel",Simulation!$F$11="Amortissable différé total")),C218*(1+(Simulation!$F$11="Amortissable différé total")*Simulation!$F$8/12),C218-D219),0)</f>
        <v>0</v>
      </c>
      <c r="D219" s="114">
        <f>IF(B219&lt;=MIN(Simulation!$F$10*12+Simulation!$F$12*OR(Simulation!$F$11="Amortissable différé partiel",Simulation!$F$11="Amortissable différé total"),Simulation!$F$24*12),G219-E219,0)</f>
        <v>0</v>
      </c>
      <c r="E219" s="114">
        <f>IF(B219&lt;=MIN(Simulation!$F$10*12+Simulation!$F$12*OR(Simulation!$F$11="Amortissable différé partiel",Simulation!$F$11="Amortissable différé total"),Simulation!$F$24*12),IF(AND(B219&lt;=Simulation!$F$12,Simulation!$F$11="Amortissable différé total"),0,C218*Simulation!$F$8/12),0)</f>
        <v>0</v>
      </c>
      <c r="F219" s="114">
        <f>IF(B219&lt;=MIN(Simulation!$F$10*12+Simulation!$F$12*OR(Simulation!$F$11="Amortissable différé partiel",Simulation!$F$11="Amortissable différé total"),Simulation!$F$24*12),Simulation!$E$33*Simulation!$F$9/12,0)</f>
        <v>0</v>
      </c>
      <c r="G219" s="115">
        <f>IF(B219&lt;=MIN(Simulation!$F$10*12+Simulation!$F$12*OR(Simulation!$F$11="Amortissable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partiel",IF(B219&lt;=Simulation!$F$12,Simulation!$E$33*Simulation!$F$8/12,PMT(Simulation!$F$8/12,Simulation!$F$10*12,-Simulation!$E$34)),IF(Simulation!$F$11="Amortissable différé total",IF(B219&lt;=Simulation!$F$12,0,PMT(Simulation!$F$8/12,Simulation!$F$10*12,-Simulation!$E$34)),IF(Simulation!$F$11="In fine",IF(B219=Simulation!$F$10*12,Simulation!$E$34,Simulation!$F$8*Simulation!$E$34/12),0)))),0)</f>
        <v>0</v>
      </c>
      <c r="H219" s="113">
        <f>Simulation!$C$16/12*(1+Simulation!$F$15)^INT((B219-1)/12)*(B219&lt;=Simulation!$F$24*12)</f>
        <v>0</v>
      </c>
      <c r="I219" s="114">
        <f>(Simulation!$F$22-VLOOKUP(Simulation!$C$27,'Comparatif fiscal'!$B$8:$E$17,4,FALSE)-C219)*(B219=Simulation!$F$24*12)</f>
        <v>0</v>
      </c>
      <c r="J219" s="114">
        <f>(Simulation!$C$21+Simulation!$C$22)/12*(1+Simulation!$F$17)^INT((B219-1)/12)*(B219&lt;=Simulation!$F$24*12)</f>
        <v>0</v>
      </c>
      <c r="K219" s="114">
        <f>(H219*Simulation!$C$24+Simulation!$C$23/12*(1+Simulation!$F$15)^INT((B219-1)/12))*(B219&lt;=Simulation!$F$24*12)</f>
        <v>0</v>
      </c>
      <c r="L219" s="114">
        <f>Simulation!$C$19/12*(1+Simulation!$F$18)^INT((B219-1)/12)*(B219&lt;=Simulation!$F$24*12)</f>
        <v>0</v>
      </c>
      <c r="M219" s="114">
        <f>(Simulation!$C$20/12*(1+Simulation!$F$19)^INT((B219-1)/12)+F219)*(B219&lt;=Simulation!$F$24*12)</f>
        <v>0</v>
      </c>
      <c r="N219" s="114">
        <f ca="1">SUMIF('Détail fiscalité'!$B$8:$B$37,INT(B219/12),'Détail fiscalité'!$CI$8:$CI$37)/12+SUMIF('Détail fiscalité'!$B$8:$B$37,B219/12,'Détail fiscalité'!$CI$8:$CI$37)-SUMIF('Détail fiscalité'!$B$8:$B$37,B219/12-1,'Détail fiscalité'!$CI$8:$CI$37)</f>
        <v>0</v>
      </c>
      <c r="O219" s="116">
        <f t="shared" ca="1" si="22"/>
        <v>0</v>
      </c>
    </row>
    <row r="220" spans="2:15" x14ac:dyDescent="0.15">
      <c r="B220" s="40">
        <f t="shared" si="21"/>
        <v>213</v>
      </c>
      <c r="C220" s="113">
        <f>IF(B220&lt;=MIN(Simulation!$F$10*12+Simulation!$F$12*OR(Simulation!$F$11="Amortissable différé partiel",Simulation!$F$11="Amortissable différé total"),Simulation!$F$24*12),IF(AND(B220&lt;=Simulation!$F$12,OR(Simulation!$F$11="Amortissable différé partiel",Simulation!$F$11="Amortissable différé total")),C219*(1+(Simulation!$F$11="Amortissable différé total")*Simulation!$F$8/12),C219-D220),0)</f>
        <v>0</v>
      </c>
      <c r="D220" s="114">
        <f>IF(B220&lt;=MIN(Simulation!$F$10*12+Simulation!$F$12*OR(Simulation!$F$11="Amortissable différé partiel",Simulation!$F$11="Amortissable différé total"),Simulation!$F$24*12),G220-E220,0)</f>
        <v>0</v>
      </c>
      <c r="E220" s="114">
        <f>IF(B220&lt;=MIN(Simulation!$F$10*12+Simulation!$F$12*OR(Simulation!$F$11="Amortissable différé partiel",Simulation!$F$11="Amortissable différé total"),Simulation!$F$24*12),IF(AND(B220&lt;=Simulation!$F$12,Simulation!$F$11="Amortissable différé total"),0,C219*Simulation!$F$8/12),0)</f>
        <v>0</v>
      </c>
      <c r="F220" s="114">
        <f>IF(B220&lt;=MIN(Simulation!$F$10*12+Simulation!$F$12*OR(Simulation!$F$11="Amortissable différé partiel",Simulation!$F$11="Amortissable différé total"),Simulation!$F$24*12),Simulation!$E$33*Simulation!$F$9/12,0)</f>
        <v>0</v>
      </c>
      <c r="G220" s="115">
        <f>IF(B220&lt;=MIN(Simulation!$F$10*12+Simulation!$F$12*OR(Simulation!$F$11="Amortissable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partiel",IF(B220&lt;=Simulation!$F$12,Simulation!$E$33*Simulation!$F$8/12,PMT(Simulation!$F$8/12,Simulation!$F$10*12,-Simulation!$E$34)),IF(Simulation!$F$11="Amortissable différé total",IF(B220&lt;=Simulation!$F$12,0,PMT(Simulation!$F$8/12,Simulation!$F$10*12,-Simulation!$E$34)),IF(Simulation!$F$11="In fine",IF(B220=Simulation!$F$10*12,Simulation!$E$34,Simulation!$F$8*Simulation!$E$34/12),0)))),0)</f>
        <v>0</v>
      </c>
      <c r="H220" s="113">
        <f>Simulation!$C$16/12*(1+Simulation!$F$15)^INT((B220-1)/12)*(B220&lt;=Simulation!$F$24*12)</f>
        <v>0</v>
      </c>
      <c r="I220" s="114">
        <f>(Simulation!$F$22-VLOOKUP(Simulation!$C$27,'Comparatif fiscal'!$B$8:$E$17,4,FALSE)-C220)*(B220=Simulation!$F$24*12)</f>
        <v>0</v>
      </c>
      <c r="J220" s="114">
        <f>(Simulation!$C$21+Simulation!$C$22)/12*(1+Simulation!$F$17)^INT((B220-1)/12)*(B220&lt;=Simulation!$F$24*12)</f>
        <v>0</v>
      </c>
      <c r="K220" s="114">
        <f>(H220*Simulation!$C$24+Simulation!$C$23/12*(1+Simulation!$F$15)^INT((B220-1)/12))*(B220&lt;=Simulation!$F$24*12)</f>
        <v>0</v>
      </c>
      <c r="L220" s="114">
        <f>Simulation!$C$19/12*(1+Simulation!$F$18)^INT((B220-1)/12)*(B220&lt;=Simulation!$F$24*12)</f>
        <v>0</v>
      </c>
      <c r="M220" s="114">
        <f>(Simulation!$C$20/12*(1+Simulation!$F$19)^INT((B220-1)/12)+F220)*(B220&lt;=Simulation!$F$24*12)</f>
        <v>0</v>
      </c>
      <c r="N220" s="114">
        <f ca="1">SUMIF('Détail fiscalité'!$B$8:$B$37,INT(B220/12),'Détail fiscalité'!$CI$8:$CI$37)/12+SUMIF('Détail fiscalité'!$B$8:$B$37,B220/12,'Détail fiscalité'!$CI$8:$CI$37)-SUMIF('Détail fiscalité'!$B$8:$B$37,B220/12-1,'Détail fiscalité'!$CI$8:$CI$37)</f>
        <v>0</v>
      </c>
      <c r="O220" s="116">
        <f t="shared" ca="1" si="22"/>
        <v>0</v>
      </c>
    </row>
    <row r="221" spans="2:15" x14ac:dyDescent="0.15">
      <c r="B221" s="40">
        <f t="shared" si="21"/>
        <v>214</v>
      </c>
      <c r="C221" s="113">
        <f>IF(B221&lt;=MIN(Simulation!$F$10*12+Simulation!$F$12*OR(Simulation!$F$11="Amortissable différé partiel",Simulation!$F$11="Amortissable différé total"),Simulation!$F$24*12),IF(AND(B221&lt;=Simulation!$F$12,OR(Simulation!$F$11="Amortissable différé partiel",Simulation!$F$11="Amortissable différé total")),C220*(1+(Simulation!$F$11="Amortissable différé total")*Simulation!$F$8/12),C220-D221),0)</f>
        <v>0</v>
      </c>
      <c r="D221" s="114">
        <f>IF(B221&lt;=MIN(Simulation!$F$10*12+Simulation!$F$12*OR(Simulation!$F$11="Amortissable différé partiel",Simulation!$F$11="Amortissable différé total"),Simulation!$F$24*12),G221-E221,0)</f>
        <v>0</v>
      </c>
      <c r="E221" s="114">
        <f>IF(B221&lt;=MIN(Simulation!$F$10*12+Simulation!$F$12*OR(Simulation!$F$11="Amortissable différé partiel",Simulation!$F$11="Amortissable différé total"),Simulation!$F$24*12),IF(AND(B221&lt;=Simulation!$F$12,Simulation!$F$11="Amortissable différé total"),0,C220*Simulation!$F$8/12),0)</f>
        <v>0</v>
      </c>
      <c r="F221" s="114">
        <f>IF(B221&lt;=MIN(Simulation!$F$10*12+Simulation!$F$12*OR(Simulation!$F$11="Amortissable différé partiel",Simulation!$F$11="Amortissable différé total"),Simulation!$F$24*12),Simulation!$E$33*Simulation!$F$9/12,0)</f>
        <v>0</v>
      </c>
      <c r="G221" s="115">
        <f>IF(B221&lt;=MIN(Simulation!$F$10*12+Simulation!$F$12*OR(Simulation!$F$11="Amortissable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partiel",IF(B221&lt;=Simulation!$F$12,Simulation!$E$33*Simulation!$F$8/12,PMT(Simulation!$F$8/12,Simulation!$F$10*12,-Simulation!$E$34)),IF(Simulation!$F$11="Amortissable différé total",IF(B221&lt;=Simulation!$F$12,0,PMT(Simulation!$F$8/12,Simulation!$F$10*12,-Simulation!$E$34)),IF(Simulation!$F$11="In fine",IF(B221=Simulation!$F$10*12,Simulation!$E$34,Simulation!$F$8*Simulation!$E$34/12),0)))),0)</f>
        <v>0</v>
      </c>
      <c r="H221" s="113">
        <f>Simulation!$C$16/12*(1+Simulation!$F$15)^INT((B221-1)/12)*(B221&lt;=Simulation!$F$24*12)</f>
        <v>0</v>
      </c>
      <c r="I221" s="114">
        <f>(Simulation!$F$22-VLOOKUP(Simulation!$C$27,'Comparatif fiscal'!$B$8:$E$17,4,FALSE)-C221)*(B221=Simulation!$F$24*12)</f>
        <v>0</v>
      </c>
      <c r="J221" s="114">
        <f>(Simulation!$C$21+Simulation!$C$22)/12*(1+Simulation!$F$17)^INT((B221-1)/12)*(B221&lt;=Simulation!$F$24*12)</f>
        <v>0</v>
      </c>
      <c r="K221" s="114">
        <f>(H221*Simulation!$C$24+Simulation!$C$23/12*(1+Simulation!$F$15)^INT((B221-1)/12))*(B221&lt;=Simulation!$F$24*12)</f>
        <v>0</v>
      </c>
      <c r="L221" s="114">
        <f>Simulation!$C$19/12*(1+Simulation!$F$18)^INT((B221-1)/12)*(B221&lt;=Simulation!$F$24*12)</f>
        <v>0</v>
      </c>
      <c r="M221" s="114">
        <f>(Simulation!$C$20/12*(1+Simulation!$F$19)^INT((B221-1)/12)+F221)*(B221&lt;=Simulation!$F$24*12)</f>
        <v>0</v>
      </c>
      <c r="N221" s="114">
        <f ca="1">SUMIF('Détail fiscalité'!$B$8:$B$37,INT(B221/12),'Détail fiscalité'!$CI$8:$CI$37)/12+SUMIF('Détail fiscalité'!$B$8:$B$37,B221/12,'Détail fiscalité'!$CI$8:$CI$37)-SUMIF('Détail fiscalité'!$B$8:$B$37,B221/12-1,'Détail fiscalité'!$CI$8:$CI$37)</f>
        <v>0</v>
      </c>
      <c r="O221" s="116">
        <f t="shared" ca="1" si="22"/>
        <v>0</v>
      </c>
    </row>
    <row r="222" spans="2:15" x14ac:dyDescent="0.15">
      <c r="B222" s="40">
        <f t="shared" si="21"/>
        <v>215</v>
      </c>
      <c r="C222" s="113">
        <f>IF(B222&lt;=MIN(Simulation!$F$10*12+Simulation!$F$12*OR(Simulation!$F$11="Amortissable différé partiel",Simulation!$F$11="Amortissable différé total"),Simulation!$F$24*12),IF(AND(B222&lt;=Simulation!$F$12,OR(Simulation!$F$11="Amortissable différé partiel",Simulation!$F$11="Amortissable différé total")),C221*(1+(Simulation!$F$11="Amortissable différé total")*Simulation!$F$8/12),C221-D222),0)</f>
        <v>0</v>
      </c>
      <c r="D222" s="114">
        <f>IF(B222&lt;=MIN(Simulation!$F$10*12+Simulation!$F$12*OR(Simulation!$F$11="Amortissable différé partiel",Simulation!$F$11="Amortissable différé total"),Simulation!$F$24*12),G222-E222,0)</f>
        <v>0</v>
      </c>
      <c r="E222" s="114">
        <f>IF(B222&lt;=MIN(Simulation!$F$10*12+Simulation!$F$12*OR(Simulation!$F$11="Amortissable différé partiel",Simulation!$F$11="Amortissable différé total"),Simulation!$F$24*12),IF(AND(B222&lt;=Simulation!$F$12,Simulation!$F$11="Amortissable différé total"),0,C221*Simulation!$F$8/12),0)</f>
        <v>0</v>
      </c>
      <c r="F222" s="114">
        <f>IF(B222&lt;=MIN(Simulation!$F$10*12+Simulation!$F$12*OR(Simulation!$F$11="Amortissable différé partiel",Simulation!$F$11="Amortissable différé total"),Simulation!$F$24*12),Simulation!$E$33*Simulation!$F$9/12,0)</f>
        <v>0</v>
      </c>
      <c r="G222" s="115">
        <f>IF(B222&lt;=MIN(Simulation!$F$10*12+Simulation!$F$12*OR(Simulation!$F$11="Amortissable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partiel",IF(B222&lt;=Simulation!$F$12,Simulation!$E$33*Simulation!$F$8/12,PMT(Simulation!$F$8/12,Simulation!$F$10*12,-Simulation!$E$34)),IF(Simulation!$F$11="Amortissable différé total",IF(B222&lt;=Simulation!$F$12,0,PMT(Simulation!$F$8/12,Simulation!$F$10*12,-Simulation!$E$34)),IF(Simulation!$F$11="In fine",IF(B222=Simulation!$F$10*12,Simulation!$E$34,Simulation!$F$8*Simulation!$E$34/12),0)))),0)</f>
        <v>0</v>
      </c>
      <c r="H222" s="113">
        <f>Simulation!$C$16/12*(1+Simulation!$F$15)^INT((B222-1)/12)*(B222&lt;=Simulation!$F$24*12)</f>
        <v>0</v>
      </c>
      <c r="I222" s="114">
        <f>(Simulation!$F$22-VLOOKUP(Simulation!$C$27,'Comparatif fiscal'!$B$8:$E$17,4,FALSE)-C222)*(B222=Simulation!$F$24*12)</f>
        <v>0</v>
      </c>
      <c r="J222" s="114">
        <f>(Simulation!$C$21+Simulation!$C$22)/12*(1+Simulation!$F$17)^INT((B222-1)/12)*(B222&lt;=Simulation!$F$24*12)</f>
        <v>0</v>
      </c>
      <c r="K222" s="114">
        <f>(H222*Simulation!$C$24+Simulation!$C$23/12*(1+Simulation!$F$15)^INT((B222-1)/12))*(B222&lt;=Simulation!$F$24*12)</f>
        <v>0</v>
      </c>
      <c r="L222" s="114">
        <f>Simulation!$C$19/12*(1+Simulation!$F$18)^INT((B222-1)/12)*(B222&lt;=Simulation!$F$24*12)</f>
        <v>0</v>
      </c>
      <c r="M222" s="114">
        <f>(Simulation!$C$20/12*(1+Simulation!$F$19)^INT((B222-1)/12)+F222)*(B222&lt;=Simulation!$F$24*12)</f>
        <v>0</v>
      </c>
      <c r="N222" s="114">
        <f ca="1">SUMIF('Détail fiscalité'!$B$8:$B$37,INT(B222/12),'Détail fiscalité'!$CI$8:$CI$37)/12+SUMIF('Détail fiscalité'!$B$8:$B$37,B222/12,'Détail fiscalité'!$CI$8:$CI$37)-SUMIF('Détail fiscalité'!$B$8:$B$37,B222/12-1,'Détail fiscalité'!$CI$8:$CI$37)</f>
        <v>0</v>
      </c>
      <c r="O222" s="116">
        <f t="shared" ca="1" si="22"/>
        <v>0</v>
      </c>
    </row>
    <row r="223" spans="2:15" x14ac:dyDescent="0.15">
      <c r="B223" s="40">
        <f t="shared" si="21"/>
        <v>216</v>
      </c>
      <c r="C223" s="113">
        <f>IF(B223&lt;=MIN(Simulation!$F$10*12+Simulation!$F$12*OR(Simulation!$F$11="Amortissable différé partiel",Simulation!$F$11="Amortissable différé total"),Simulation!$F$24*12),IF(AND(B223&lt;=Simulation!$F$12,OR(Simulation!$F$11="Amortissable différé partiel",Simulation!$F$11="Amortissable différé total")),C222*(1+(Simulation!$F$11="Amortissable différé total")*Simulation!$F$8/12),C222-D223),0)</f>
        <v>0</v>
      </c>
      <c r="D223" s="114">
        <f>IF(B223&lt;=MIN(Simulation!$F$10*12+Simulation!$F$12*OR(Simulation!$F$11="Amortissable différé partiel",Simulation!$F$11="Amortissable différé total"),Simulation!$F$24*12),G223-E223,0)</f>
        <v>0</v>
      </c>
      <c r="E223" s="114">
        <f>IF(B223&lt;=MIN(Simulation!$F$10*12+Simulation!$F$12*OR(Simulation!$F$11="Amortissable différé partiel",Simulation!$F$11="Amortissable différé total"),Simulation!$F$24*12),IF(AND(B223&lt;=Simulation!$F$12,Simulation!$F$11="Amortissable différé total"),0,C222*Simulation!$F$8/12),0)</f>
        <v>0</v>
      </c>
      <c r="F223" s="114">
        <f>IF(B223&lt;=MIN(Simulation!$F$10*12+Simulation!$F$12*OR(Simulation!$F$11="Amortissable différé partiel",Simulation!$F$11="Amortissable différé total"),Simulation!$F$24*12),Simulation!$E$33*Simulation!$F$9/12,0)</f>
        <v>0</v>
      </c>
      <c r="G223" s="115">
        <f>IF(B223&lt;=MIN(Simulation!$F$10*12+Simulation!$F$12*OR(Simulation!$F$11="Amortissable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partiel",IF(B223&lt;=Simulation!$F$12,Simulation!$E$33*Simulation!$F$8/12,PMT(Simulation!$F$8/12,Simulation!$F$10*12,-Simulation!$E$34)),IF(Simulation!$F$11="Amortissable différé total",IF(B223&lt;=Simulation!$F$12,0,PMT(Simulation!$F$8/12,Simulation!$F$10*12,-Simulation!$E$34)),IF(Simulation!$F$11="In fine",IF(B223=Simulation!$F$10*12,Simulation!$E$34,Simulation!$F$8*Simulation!$E$34/12),0)))),0)</f>
        <v>0</v>
      </c>
      <c r="H223" s="113">
        <f>Simulation!$C$16/12*(1+Simulation!$F$15)^INT((B223-1)/12)*(B223&lt;=Simulation!$F$24*12)</f>
        <v>0</v>
      </c>
      <c r="I223" s="114">
        <f>(Simulation!$F$22-VLOOKUP(Simulation!$C$27,'Comparatif fiscal'!$B$8:$E$17,4,FALSE)-C223)*(B223=Simulation!$F$24*12)</f>
        <v>0</v>
      </c>
      <c r="J223" s="114">
        <f>(Simulation!$C$21+Simulation!$C$22)/12*(1+Simulation!$F$17)^INT((B223-1)/12)*(B223&lt;=Simulation!$F$24*12)</f>
        <v>0</v>
      </c>
      <c r="K223" s="114">
        <f>(H223*Simulation!$C$24+Simulation!$C$23/12*(1+Simulation!$F$15)^INT((B223-1)/12))*(B223&lt;=Simulation!$F$24*12)</f>
        <v>0</v>
      </c>
      <c r="L223" s="114">
        <f>Simulation!$C$19/12*(1+Simulation!$F$18)^INT((B223-1)/12)*(B223&lt;=Simulation!$F$24*12)</f>
        <v>0</v>
      </c>
      <c r="M223" s="114">
        <f>(Simulation!$C$20/12*(1+Simulation!$F$19)^INT((B223-1)/12)+F223)*(B223&lt;=Simulation!$F$24*12)</f>
        <v>0</v>
      </c>
      <c r="N223" s="114">
        <f ca="1">SUMIF('Détail fiscalité'!$B$8:$B$37,INT(B223/12),'Détail fiscalité'!$CI$8:$CI$37)/12+SUMIF('Détail fiscalité'!$B$8:$B$37,B223/12,'Détail fiscalité'!$CI$8:$CI$37)-SUMIF('Détail fiscalité'!$B$8:$B$37,B223/12-1,'Détail fiscalité'!$CI$8:$CI$37)</f>
        <v>0</v>
      </c>
      <c r="O223" s="116">
        <f t="shared" ca="1" si="22"/>
        <v>0</v>
      </c>
    </row>
    <row r="224" spans="2:15" x14ac:dyDescent="0.15">
      <c r="B224" s="40">
        <f t="shared" si="21"/>
        <v>217</v>
      </c>
      <c r="C224" s="113">
        <f>IF(B224&lt;=MIN(Simulation!$F$10*12+Simulation!$F$12*OR(Simulation!$F$11="Amortissable différé partiel",Simulation!$F$11="Amortissable différé total"),Simulation!$F$24*12),IF(AND(B224&lt;=Simulation!$F$12,OR(Simulation!$F$11="Amortissable différé partiel",Simulation!$F$11="Amortissable différé total")),C223*(1+(Simulation!$F$11="Amortissable différé total")*Simulation!$F$8/12),C223-D224),0)</f>
        <v>0</v>
      </c>
      <c r="D224" s="114">
        <f>IF(B224&lt;=MIN(Simulation!$F$10*12+Simulation!$F$12*OR(Simulation!$F$11="Amortissable différé partiel",Simulation!$F$11="Amortissable différé total"),Simulation!$F$24*12),G224-E224,0)</f>
        <v>0</v>
      </c>
      <c r="E224" s="114">
        <f>IF(B224&lt;=MIN(Simulation!$F$10*12+Simulation!$F$12*OR(Simulation!$F$11="Amortissable différé partiel",Simulation!$F$11="Amortissable différé total"),Simulation!$F$24*12),IF(AND(B224&lt;=Simulation!$F$12,Simulation!$F$11="Amortissable différé total"),0,C223*Simulation!$F$8/12),0)</f>
        <v>0</v>
      </c>
      <c r="F224" s="114">
        <f>IF(B224&lt;=MIN(Simulation!$F$10*12+Simulation!$F$12*OR(Simulation!$F$11="Amortissable différé partiel",Simulation!$F$11="Amortissable différé total"),Simulation!$F$24*12),Simulation!$E$33*Simulation!$F$9/12,0)</f>
        <v>0</v>
      </c>
      <c r="G224" s="115">
        <f>IF(B224&lt;=MIN(Simulation!$F$10*12+Simulation!$F$12*OR(Simulation!$F$11="Amortissable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partiel",IF(B224&lt;=Simulation!$F$12,Simulation!$E$33*Simulation!$F$8/12,PMT(Simulation!$F$8/12,Simulation!$F$10*12,-Simulation!$E$34)),IF(Simulation!$F$11="Amortissable différé total",IF(B224&lt;=Simulation!$F$12,0,PMT(Simulation!$F$8/12,Simulation!$F$10*12,-Simulation!$E$34)),IF(Simulation!$F$11="In fine",IF(B224=Simulation!$F$10*12,Simulation!$E$34,Simulation!$F$8*Simulation!$E$34/12),0)))),0)</f>
        <v>0</v>
      </c>
      <c r="H224" s="113">
        <f>Simulation!$C$16/12*(1+Simulation!$F$15)^INT((B224-1)/12)*(B224&lt;=Simulation!$F$24*12)</f>
        <v>0</v>
      </c>
      <c r="I224" s="114">
        <f>(Simulation!$F$22-VLOOKUP(Simulation!$C$27,'Comparatif fiscal'!$B$8:$E$17,4,FALSE)-C224)*(B224=Simulation!$F$24*12)</f>
        <v>0</v>
      </c>
      <c r="J224" s="114">
        <f>(Simulation!$C$21+Simulation!$C$22)/12*(1+Simulation!$F$17)^INT((B224-1)/12)*(B224&lt;=Simulation!$F$24*12)</f>
        <v>0</v>
      </c>
      <c r="K224" s="114">
        <f>(H224*Simulation!$C$24+Simulation!$C$23/12*(1+Simulation!$F$15)^INT((B224-1)/12))*(B224&lt;=Simulation!$F$24*12)</f>
        <v>0</v>
      </c>
      <c r="L224" s="114">
        <f>Simulation!$C$19/12*(1+Simulation!$F$18)^INT((B224-1)/12)*(B224&lt;=Simulation!$F$24*12)</f>
        <v>0</v>
      </c>
      <c r="M224" s="114">
        <f>(Simulation!$C$20/12*(1+Simulation!$F$19)^INT((B224-1)/12)+F224)*(B224&lt;=Simulation!$F$24*12)</f>
        <v>0</v>
      </c>
      <c r="N224" s="114">
        <f ca="1">SUMIF('Détail fiscalité'!$B$8:$B$37,INT(B224/12),'Détail fiscalité'!$CI$8:$CI$37)/12+SUMIF('Détail fiscalité'!$B$8:$B$37,B224/12,'Détail fiscalité'!$CI$8:$CI$37)-SUMIF('Détail fiscalité'!$B$8:$B$37,B224/12-1,'Détail fiscalité'!$CI$8:$CI$37)</f>
        <v>0</v>
      </c>
      <c r="O224" s="116">
        <f t="shared" ca="1" si="22"/>
        <v>0</v>
      </c>
    </row>
    <row r="225" spans="2:15" x14ac:dyDescent="0.15">
      <c r="B225" s="40">
        <f t="shared" si="21"/>
        <v>218</v>
      </c>
      <c r="C225" s="113">
        <f>IF(B225&lt;=MIN(Simulation!$F$10*12+Simulation!$F$12*OR(Simulation!$F$11="Amortissable différé partiel",Simulation!$F$11="Amortissable différé total"),Simulation!$F$24*12),IF(AND(B225&lt;=Simulation!$F$12,OR(Simulation!$F$11="Amortissable différé partiel",Simulation!$F$11="Amortissable différé total")),C224*(1+(Simulation!$F$11="Amortissable différé total")*Simulation!$F$8/12),C224-D225),0)</f>
        <v>0</v>
      </c>
      <c r="D225" s="114">
        <f>IF(B225&lt;=MIN(Simulation!$F$10*12+Simulation!$F$12*OR(Simulation!$F$11="Amortissable différé partiel",Simulation!$F$11="Amortissable différé total"),Simulation!$F$24*12),G225-E225,0)</f>
        <v>0</v>
      </c>
      <c r="E225" s="114">
        <f>IF(B225&lt;=MIN(Simulation!$F$10*12+Simulation!$F$12*OR(Simulation!$F$11="Amortissable différé partiel",Simulation!$F$11="Amortissable différé total"),Simulation!$F$24*12),IF(AND(B225&lt;=Simulation!$F$12,Simulation!$F$11="Amortissable différé total"),0,C224*Simulation!$F$8/12),0)</f>
        <v>0</v>
      </c>
      <c r="F225" s="114">
        <f>IF(B225&lt;=MIN(Simulation!$F$10*12+Simulation!$F$12*OR(Simulation!$F$11="Amortissable différé partiel",Simulation!$F$11="Amortissable différé total"),Simulation!$F$24*12),Simulation!$E$33*Simulation!$F$9/12,0)</f>
        <v>0</v>
      </c>
      <c r="G225" s="115">
        <f>IF(B225&lt;=MIN(Simulation!$F$10*12+Simulation!$F$12*OR(Simulation!$F$11="Amortissable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partiel",IF(B225&lt;=Simulation!$F$12,Simulation!$E$33*Simulation!$F$8/12,PMT(Simulation!$F$8/12,Simulation!$F$10*12,-Simulation!$E$34)),IF(Simulation!$F$11="Amortissable différé total",IF(B225&lt;=Simulation!$F$12,0,PMT(Simulation!$F$8/12,Simulation!$F$10*12,-Simulation!$E$34)),IF(Simulation!$F$11="In fine",IF(B225=Simulation!$F$10*12,Simulation!$E$34,Simulation!$F$8*Simulation!$E$34/12),0)))),0)</f>
        <v>0</v>
      </c>
      <c r="H225" s="113">
        <f>Simulation!$C$16/12*(1+Simulation!$F$15)^INT((B225-1)/12)*(B225&lt;=Simulation!$F$24*12)</f>
        <v>0</v>
      </c>
      <c r="I225" s="114">
        <f>(Simulation!$F$22-VLOOKUP(Simulation!$C$27,'Comparatif fiscal'!$B$8:$E$17,4,FALSE)-C225)*(B225=Simulation!$F$24*12)</f>
        <v>0</v>
      </c>
      <c r="J225" s="114">
        <f>(Simulation!$C$21+Simulation!$C$22)/12*(1+Simulation!$F$17)^INT((B225-1)/12)*(B225&lt;=Simulation!$F$24*12)</f>
        <v>0</v>
      </c>
      <c r="K225" s="114">
        <f>(H225*Simulation!$C$24+Simulation!$C$23/12*(1+Simulation!$F$15)^INT((B225-1)/12))*(B225&lt;=Simulation!$F$24*12)</f>
        <v>0</v>
      </c>
      <c r="L225" s="114">
        <f>Simulation!$C$19/12*(1+Simulation!$F$18)^INT((B225-1)/12)*(B225&lt;=Simulation!$F$24*12)</f>
        <v>0</v>
      </c>
      <c r="M225" s="114">
        <f>(Simulation!$C$20/12*(1+Simulation!$F$19)^INT((B225-1)/12)+F225)*(B225&lt;=Simulation!$F$24*12)</f>
        <v>0</v>
      </c>
      <c r="N225" s="114">
        <f ca="1">SUMIF('Détail fiscalité'!$B$8:$B$37,INT(B225/12),'Détail fiscalité'!$CI$8:$CI$37)/12+SUMIF('Détail fiscalité'!$B$8:$B$37,B225/12,'Détail fiscalité'!$CI$8:$CI$37)-SUMIF('Détail fiscalité'!$B$8:$B$37,B225/12-1,'Détail fiscalité'!$CI$8:$CI$37)</f>
        <v>0</v>
      </c>
      <c r="O225" s="116">
        <f t="shared" ca="1" si="22"/>
        <v>0</v>
      </c>
    </row>
    <row r="226" spans="2:15" x14ac:dyDescent="0.15">
      <c r="B226" s="40">
        <f t="shared" si="21"/>
        <v>219</v>
      </c>
      <c r="C226" s="113">
        <f>IF(B226&lt;=MIN(Simulation!$F$10*12+Simulation!$F$12*OR(Simulation!$F$11="Amortissable différé partiel",Simulation!$F$11="Amortissable différé total"),Simulation!$F$24*12),IF(AND(B226&lt;=Simulation!$F$12,OR(Simulation!$F$11="Amortissable différé partiel",Simulation!$F$11="Amortissable différé total")),C225*(1+(Simulation!$F$11="Amortissable différé total")*Simulation!$F$8/12),C225-D226),0)</f>
        <v>0</v>
      </c>
      <c r="D226" s="114">
        <f>IF(B226&lt;=MIN(Simulation!$F$10*12+Simulation!$F$12*OR(Simulation!$F$11="Amortissable différé partiel",Simulation!$F$11="Amortissable différé total"),Simulation!$F$24*12),G226-E226,0)</f>
        <v>0</v>
      </c>
      <c r="E226" s="114">
        <f>IF(B226&lt;=MIN(Simulation!$F$10*12+Simulation!$F$12*OR(Simulation!$F$11="Amortissable différé partiel",Simulation!$F$11="Amortissable différé total"),Simulation!$F$24*12),IF(AND(B226&lt;=Simulation!$F$12,Simulation!$F$11="Amortissable différé total"),0,C225*Simulation!$F$8/12),0)</f>
        <v>0</v>
      </c>
      <c r="F226" s="114">
        <f>IF(B226&lt;=MIN(Simulation!$F$10*12+Simulation!$F$12*OR(Simulation!$F$11="Amortissable différé partiel",Simulation!$F$11="Amortissable différé total"),Simulation!$F$24*12),Simulation!$E$33*Simulation!$F$9/12,0)</f>
        <v>0</v>
      </c>
      <c r="G226" s="115">
        <f>IF(B226&lt;=MIN(Simulation!$F$10*12+Simulation!$F$12*OR(Simulation!$F$11="Amortissable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partiel",IF(B226&lt;=Simulation!$F$12,Simulation!$E$33*Simulation!$F$8/12,PMT(Simulation!$F$8/12,Simulation!$F$10*12,-Simulation!$E$34)),IF(Simulation!$F$11="Amortissable différé total",IF(B226&lt;=Simulation!$F$12,0,PMT(Simulation!$F$8/12,Simulation!$F$10*12,-Simulation!$E$34)),IF(Simulation!$F$11="In fine",IF(B226=Simulation!$F$10*12,Simulation!$E$34,Simulation!$F$8*Simulation!$E$34/12),0)))),0)</f>
        <v>0</v>
      </c>
      <c r="H226" s="113">
        <f>Simulation!$C$16/12*(1+Simulation!$F$15)^INT((B226-1)/12)*(B226&lt;=Simulation!$F$24*12)</f>
        <v>0</v>
      </c>
      <c r="I226" s="114">
        <f>(Simulation!$F$22-VLOOKUP(Simulation!$C$27,'Comparatif fiscal'!$B$8:$E$17,4,FALSE)-C226)*(B226=Simulation!$F$24*12)</f>
        <v>0</v>
      </c>
      <c r="J226" s="114">
        <f>(Simulation!$C$21+Simulation!$C$22)/12*(1+Simulation!$F$17)^INT((B226-1)/12)*(B226&lt;=Simulation!$F$24*12)</f>
        <v>0</v>
      </c>
      <c r="K226" s="114">
        <f>(H226*Simulation!$C$24+Simulation!$C$23/12*(1+Simulation!$F$15)^INT((B226-1)/12))*(B226&lt;=Simulation!$F$24*12)</f>
        <v>0</v>
      </c>
      <c r="L226" s="114">
        <f>Simulation!$C$19/12*(1+Simulation!$F$18)^INT((B226-1)/12)*(B226&lt;=Simulation!$F$24*12)</f>
        <v>0</v>
      </c>
      <c r="M226" s="114">
        <f>(Simulation!$C$20/12*(1+Simulation!$F$19)^INT((B226-1)/12)+F226)*(B226&lt;=Simulation!$F$24*12)</f>
        <v>0</v>
      </c>
      <c r="N226" s="114">
        <f ca="1">SUMIF('Détail fiscalité'!$B$8:$B$37,INT(B226/12),'Détail fiscalité'!$CI$8:$CI$37)/12+SUMIF('Détail fiscalité'!$B$8:$B$37,B226/12,'Détail fiscalité'!$CI$8:$CI$37)-SUMIF('Détail fiscalité'!$B$8:$B$37,B226/12-1,'Détail fiscalité'!$CI$8:$CI$37)</f>
        <v>0</v>
      </c>
      <c r="O226" s="116">
        <f t="shared" ca="1" si="22"/>
        <v>0</v>
      </c>
    </row>
    <row r="227" spans="2:15" x14ac:dyDescent="0.15">
      <c r="B227" s="40">
        <f t="shared" si="21"/>
        <v>220</v>
      </c>
      <c r="C227" s="113">
        <f>IF(B227&lt;=MIN(Simulation!$F$10*12+Simulation!$F$12*OR(Simulation!$F$11="Amortissable différé partiel",Simulation!$F$11="Amortissable différé total"),Simulation!$F$24*12),IF(AND(B227&lt;=Simulation!$F$12,OR(Simulation!$F$11="Amortissable différé partiel",Simulation!$F$11="Amortissable différé total")),C226*(1+(Simulation!$F$11="Amortissable différé total")*Simulation!$F$8/12),C226-D227),0)</f>
        <v>0</v>
      </c>
      <c r="D227" s="114">
        <f>IF(B227&lt;=MIN(Simulation!$F$10*12+Simulation!$F$12*OR(Simulation!$F$11="Amortissable différé partiel",Simulation!$F$11="Amortissable différé total"),Simulation!$F$24*12),G227-E227,0)</f>
        <v>0</v>
      </c>
      <c r="E227" s="114">
        <f>IF(B227&lt;=MIN(Simulation!$F$10*12+Simulation!$F$12*OR(Simulation!$F$11="Amortissable différé partiel",Simulation!$F$11="Amortissable différé total"),Simulation!$F$24*12),IF(AND(B227&lt;=Simulation!$F$12,Simulation!$F$11="Amortissable différé total"),0,C226*Simulation!$F$8/12),0)</f>
        <v>0</v>
      </c>
      <c r="F227" s="114">
        <f>IF(B227&lt;=MIN(Simulation!$F$10*12+Simulation!$F$12*OR(Simulation!$F$11="Amortissable différé partiel",Simulation!$F$11="Amortissable différé total"),Simulation!$F$24*12),Simulation!$E$33*Simulation!$F$9/12,0)</f>
        <v>0</v>
      </c>
      <c r="G227" s="115">
        <f>IF(B227&lt;=MIN(Simulation!$F$10*12+Simulation!$F$12*OR(Simulation!$F$11="Amortissable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partiel",IF(B227&lt;=Simulation!$F$12,Simulation!$E$33*Simulation!$F$8/12,PMT(Simulation!$F$8/12,Simulation!$F$10*12,-Simulation!$E$34)),IF(Simulation!$F$11="Amortissable différé total",IF(B227&lt;=Simulation!$F$12,0,PMT(Simulation!$F$8/12,Simulation!$F$10*12,-Simulation!$E$34)),IF(Simulation!$F$11="In fine",IF(B227=Simulation!$F$10*12,Simulation!$E$34,Simulation!$F$8*Simulation!$E$34/12),0)))),0)</f>
        <v>0</v>
      </c>
      <c r="H227" s="113">
        <f>Simulation!$C$16/12*(1+Simulation!$F$15)^INT((B227-1)/12)*(B227&lt;=Simulation!$F$24*12)</f>
        <v>0</v>
      </c>
      <c r="I227" s="114">
        <f>(Simulation!$F$22-VLOOKUP(Simulation!$C$27,'Comparatif fiscal'!$B$8:$E$17,4,FALSE)-C227)*(B227=Simulation!$F$24*12)</f>
        <v>0</v>
      </c>
      <c r="J227" s="114">
        <f>(Simulation!$C$21+Simulation!$C$22)/12*(1+Simulation!$F$17)^INT((B227-1)/12)*(B227&lt;=Simulation!$F$24*12)</f>
        <v>0</v>
      </c>
      <c r="K227" s="114">
        <f>(H227*Simulation!$C$24+Simulation!$C$23/12*(1+Simulation!$F$15)^INT((B227-1)/12))*(B227&lt;=Simulation!$F$24*12)</f>
        <v>0</v>
      </c>
      <c r="L227" s="114">
        <f>Simulation!$C$19/12*(1+Simulation!$F$18)^INT((B227-1)/12)*(B227&lt;=Simulation!$F$24*12)</f>
        <v>0</v>
      </c>
      <c r="M227" s="114">
        <f>(Simulation!$C$20/12*(1+Simulation!$F$19)^INT((B227-1)/12)+F227)*(B227&lt;=Simulation!$F$24*12)</f>
        <v>0</v>
      </c>
      <c r="N227" s="114">
        <f ca="1">SUMIF('Détail fiscalité'!$B$8:$B$37,INT(B227/12),'Détail fiscalité'!$CI$8:$CI$37)/12+SUMIF('Détail fiscalité'!$B$8:$B$37,B227/12,'Détail fiscalité'!$CI$8:$CI$37)-SUMIF('Détail fiscalité'!$B$8:$B$37,B227/12-1,'Détail fiscalité'!$CI$8:$CI$37)</f>
        <v>0</v>
      </c>
      <c r="O227" s="116">
        <f t="shared" ca="1" si="22"/>
        <v>0</v>
      </c>
    </row>
    <row r="228" spans="2:15" x14ac:dyDescent="0.15">
      <c r="B228" s="40">
        <f t="shared" si="21"/>
        <v>221</v>
      </c>
      <c r="C228" s="113">
        <f>IF(B228&lt;=MIN(Simulation!$F$10*12+Simulation!$F$12*OR(Simulation!$F$11="Amortissable différé partiel",Simulation!$F$11="Amortissable différé total"),Simulation!$F$24*12),IF(AND(B228&lt;=Simulation!$F$12,OR(Simulation!$F$11="Amortissable différé partiel",Simulation!$F$11="Amortissable différé total")),C227*(1+(Simulation!$F$11="Amortissable différé total")*Simulation!$F$8/12),C227-D228),0)</f>
        <v>0</v>
      </c>
      <c r="D228" s="114">
        <f>IF(B228&lt;=MIN(Simulation!$F$10*12+Simulation!$F$12*OR(Simulation!$F$11="Amortissable différé partiel",Simulation!$F$11="Amortissable différé total"),Simulation!$F$24*12),G228-E228,0)</f>
        <v>0</v>
      </c>
      <c r="E228" s="114">
        <f>IF(B228&lt;=MIN(Simulation!$F$10*12+Simulation!$F$12*OR(Simulation!$F$11="Amortissable différé partiel",Simulation!$F$11="Amortissable différé total"),Simulation!$F$24*12),IF(AND(B228&lt;=Simulation!$F$12,Simulation!$F$11="Amortissable différé total"),0,C227*Simulation!$F$8/12),0)</f>
        <v>0</v>
      </c>
      <c r="F228" s="114">
        <f>IF(B228&lt;=MIN(Simulation!$F$10*12+Simulation!$F$12*OR(Simulation!$F$11="Amortissable différé partiel",Simulation!$F$11="Amortissable différé total"),Simulation!$F$24*12),Simulation!$E$33*Simulation!$F$9/12,0)</f>
        <v>0</v>
      </c>
      <c r="G228" s="115">
        <f>IF(B228&lt;=MIN(Simulation!$F$10*12+Simulation!$F$12*OR(Simulation!$F$11="Amortissable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partiel",IF(B228&lt;=Simulation!$F$12,Simulation!$E$33*Simulation!$F$8/12,PMT(Simulation!$F$8/12,Simulation!$F$10*12,-Simulation!$E$34)),IF(Simulation!$F$11="Amortissable différé total",IF(B228&lt;=Simulation!$F$12,0,PMT(Simulation!$F$8/12,Simulation!$F$10*12,-Simulation!$E$34)),IF(Simulation!$F$11="In fine",IF(B228=Simulation!$F$10*12,Simulation!$E$34,Simulation!$F$8*Simulation!$E$34/12),0)))),0)</f>
        <v>0</v>
      </c>
      <c r="H228" s="113">
        <f>Simulation!$C$16/12*(1+Simulation!$F$15)^INT((B228-1)/12)*(B228&lt;=Simulation!$F$24*12)</f>
        <v>0</v>
      </c>
      <c r="I228" s="114">
        <f>(Simulation!$F$22-VLOOKUP(Simulation!$C$27,'Comparatif fiscal'!$B$8:$E$17,4,FALSE)-C228)*(B228=Simulation!$F$24*12)</f>
        <v>0</v>
      </c>
      <c r="J228" s="114">
        <f>(Simulation!$C$21+Simulation!$C$22)/12*(1+Simulation!$F$17)^INT((B228-1)/12)*(B228&lt;=Simulation!$F$24*12)</f>
        <v>0</v>
      </c>
      <c r="K228" s="114">
        <f>(H228*Simulation!$C$24+Simulation!$C$23/12*(1+Simulation!$F$15)^INT((B228-1)/12))*(B228&lt;=Simulation!$F$24*12)</f>
        <v>0</v>
      </c>
      <c r="L228" s="114">
        <f>Simulation!$C$19/12*(1+Simulation!$F$18)^INT((B228-1)/12)*(B228&lt;=Simulation!$F$24*12)</f>
        <v>0</v>
      </c>
      <c r="M228" s="114">
        <f>(Simulation!$C$20/12*(1+Simulation!$F$19)^INT((B228-1)/12)+F228)*(B228&lt;=Simulation!$F$24*12)</f>
        <v>0</v>
      </c>
      <c r="N228" s="114">
        <f ca="1">SUMIF('Détail fiscalité'!$B$8:$B$37,INT(B228/12),'Détail fiscalité'!$CI$8:$CI$37)/12+SUMIF('Détail fiscalité'!$B$8:$B$37,B228/12,'Détail fiscalité'!$CI$8:$CI$37)-SUMIF('Détail fiscalité'!$B$8:$B$37,B228/12-1,'Détail fiscalité'!$CI$8:$CI$37)</f>
        <v>0</v>
      </c>
      <c r="O228" s="116">
        <f t="shared" ca="1" si="22"/>
        <v>0</v>
      </c>
    </row>
    <row r="229" spans="2:15" x14ac:dyDescent="0.15">
      <c r="B229" s="40">
        <f t="shared" si="21"/>
        <v>222</v>
      </c>
      <c r="C229" s="113">
        <f>IF(B229&lt;=MIN(Simulation!$F$10*12+Simulation!$F$12*OR(Simulation!$F$11="Amortissable différé partiel",Simulation!$F$11="Amortissable différé total"),Simulation!$F$24*12),IF(AND(B229&lt;=Simulation!$F$12,OR(Simulation!$F$11="Amortissable différé partiel",Simulation!$F$11="Amortissable différé total")),C228*(1+(Simulation!$F$11="Amortissable différé total")*Simulation!$F$8/12),C228-D229),0)</f>
        <v>0</v>
      </c>
      <c r="D229" s="114">
        <f>IF(B229&lt;=MIN(Simulation!$F$10*12+Simulation!$F$12*OR(Simulation!$F$11="Amortissable différé partiel",Simulation!$F$11="Amortissable différé total"),Simulation!$F$24*12),G229-E229,0)</f>
        <v>0</v>
      </c>
      <c r="E229" s="114">
        <f>IF(B229&lt;=MIN(Simulation!$F$10*12+Simulation!$F$12*OR(Simulation!$F$11="Amortissable différé partiel",Simulation!$F$11="Amortissable différé total"),Simulation!$F$24*12),IF(AND(B229&lt;=Simulation!$F$12,Simulation!$F$11="Amortissable différé total"),0,C228*Simulation!$F$8/12),0)</f>
        <v>0</v>
      </c>
      <c r="F229" s="114">
        <f>IF(B229&lt;=MIN(Simulation!$F$10*12+Simulation!$F$12*OR(Simulation!$F$11="Amortissable différé partiel",Simulation!$F$11="Amortissable différé total"),Simulation!$F$24*12),Simulation!$E$33*Simulation!$F$9/12,0)</f>
        <v>0</v>
      </c>
      <c r="G229" s="115">
        <f>IF(B229&lt;=MIN(Simulation!$F$10*12+Simulation!$F$12*OR(Simulation!$F$11="Amortissable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partiel",IF(B229&lt;=Simulation!$F$12,Simulation!$E$33*Simulation!$F$8/12,PMT(Simulation!$F$8/12,Simulation!$F$10*12,-Simulation!$E$34)),IF(Simulation!$F$11="Amortissable différé total",IF(B229&lt;=Simulation!$F$12,0,PMT(Simulation!$F$8/12,Simulation!$F$10*12,-Simulation!$E$34)),IF(Simulation!$F$11="In fine",IF(B229=Simulation!$F$10*12,Simulation!$E$34,Simulation!$F$8*Simulation!$E$34/12),0)))),0)</f>
        <v>0</v>
      </c>
      <c r="H229" s="113">
        <f>Simulation!$C$16/12*(1+Simulation!$F$15)^INT((B229-1)/12)*(B229&lt;=Simulation!$F$24*12)</f>
        <v>0</v>
      </c>
      <c r="I229" s="114">
        <f>(Simulation!$F$22-VLOOKUP(Simulation!$C$27,'Comparatif fiscal'!$B$8:$E$17,4,FALSE)-C229)*(B229=Simulation!$F$24*12)</f>
        <v>0</v>
      </c>
      <c r="J229" s="114">
        <f>(Simulation!$C$21+Simulation!$C$22)/12*(1+Simulation!$F$17)^INT((B229-1)/12)*(B229&lt;=Simulation!$F$24*12)</f>
        <v>0</v>
      </c>
      <c r="K229" s="114">
        <f>(H229*Simulation!$C$24+Simulation!$C$23/12*(1+Simulation!$F$15)^INT((B229-1)/12))*(B229&lt;=Simulation!$F$24*12)</f>
        <v>0</v>
      </c>
      <c r="L229" s="114">
        <f>Simulation!$C$19/12*(1+Simulation!$F$18)^INT((B229-1)/12)*(B229&lt;=Simulation!$F$24*12)</f>
        <v>0</v>
      </c>
      <c r="M229" s="114">
        <f>(Simulation!$C$20/12*(1+Simulation!$F$19)^INT((B229-1)/12)+F229)*(B229&lt;=Simulation!$F$24*12)</f>
        <v>0</v>
      </c>
      <c r="N229" s="114">
        <f ca="1">SUMIF('Détail fiscalité'!$B$8:$B$37,INT(B229/12),'Détail fiscalité'!$CI$8:$CI$37)/12+SUMIF('Détail fiscalité'!$B$8:$B$37,B229/12,'Détail fiscalité'!$CI$8:$CI$37)-SUMIF('Détail fiscalité'!$B$8:$B$37,B229/12-1,'Détail fiscalité'!$CI$8:$CI$37)</f>
        <v>0</v>
      </c>
      <c r="O229" s="116">
        <f t="shared" ca="1" si="22"/>
        <v>0</v>
      </c>
    </row>
    <row r="230" spans="2:15" x14ac:dyDescent="0.15">
      <c r="B230" s="40">
        <f t="shared" si="21"/>
        <v>223</v>
      </c>
      <c r="C230" s="113">
        <f>IF(B230&lt;=MIN(Simulation!$F$10*12+Simulation!$F$12*OR(Simulation!$F$11="Amortissable différé partiel",Simulation!$F$11="Amortissable différé total"),Simulation!$F$24*12),IF(AND(B230&lt;=Simulation!$F$12,OR(Simulation!$F$11="Amortissable différé partiel",Simulation!$F$11="Amortissable différé total")),C229*(1+(Simulation!$F$11="Amortissable différé total")*Simulation!$F$8/12),C229-D230),0)</f>
        <v>0</v>
      </c>
      <c r="D230" s="114">
        <f>IF(B230&lt;=MIN(Simulation!$F$10*12+Simulation!$F$12*OR(Simulation!$F$11="Amortissable différé partiel",Simulation!$F$11="Amortissable différé total"),Simulation!$F$24*12),G230-E230,0)</f>
        <v>0</v>
      </c>
      <c r="E230" s="114">
        <f>IF(B230&lt;=MIN(Simulation!$F$10*12+Simulation!$F$12*OR(Simulation!$F$11="Amortissable différé partiel",Simulation!$F$11="Amortissable différé total"),Simulation!$F$24*12),IF(AND(B230&lt;=Simulation!$F$12,Simulation!$F$11="Amortissable différé total"),0,C229*Simulation!$F$8/12),0)</f>
        <v>0</v>
      </c>
      <c r="F230" s="114">
        <f>IF(B230&lt;=MIN(Simulation!$F$10*12+Simulation!$F$12*OR(Simulation!$F$11="Amortissable différé partiel",Simulation!$F$11="Amortissable différé total"),Simulation!$F$24*12),Simulation!$E$33*Simulation!$F$9/12,0)</f>
        <v>0</v>
      </c>
      <c r="G230" s="115">
        <f>IF(B230&lt;=MIN(Simulation!$F$10*12+Simulation!$F$12*OR(Simulation!$F$11="Amortissable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partiel",IF(B230&lt;=Simulation!$F$12,Simulation!$E$33*Simulation!$F$8/12,PMT(Simulation!$F$8/12,Simulation!$F$10*12,-Simulation!$E$34)),IF(Simulation!$F$11="Amortissable différé total",IF(B230&lt;=Simulation!$F$12,0,PMT(Simulation!$F$8/12,Simulation!$F$10*12,-Simulation!$E$34)),IF(Simulation!$F$11="In fine",IF(B230=Simulation!$F$10*12,Simulation!$E$34,Simulation!$F$8*Simulation!$E$34/12),0)))),0)</f>
        <v>0</v>
      </c>
      <c r="H230" s="113">
        <f>Simulation!$C$16/12*(1+Simulation!$F$15)^INT((B230-1)/12)*(B230&lt;=Simulation!$F$24*12)</f>
        <v>0</v>
      </c>
      <c r="I230" s="114">
        <f>(Simulation!$F$22-VLOOKUP(Simulation!$C$27,'Comparatif fiscal'!$B$8:$E$17,4,FALSE)-C230)*(B230=Simulation!$F$24*12)</f>
        <v>0</v>
      </c>
      <c r="J230" s="114">
        <f>(Simulation!$C$21+Simulation!$C$22)/12*(1+Simulation!$F$17)^INT((B230-1)/12)*(B230&lt;=Simulation!$F$24*12)</f>
        <v>0</v>
      </c>
      <c r="K230" s="114">
        <f>(H230*Simulation!$C$24+Simulation!$C$23/12*(1+Simulation!$F$15)^INT((B230-1)/12))*(B230&lt;=Simulation!$F$24*12)</f>
        <v>0</v>
      </c>
      <c r="L230" s="114">
        <f>Simulation!$C$19/12*(1+Simulation!$F$18)^INT((B230-1)/12)*(B230&lt;=Simulation!$F$24*12)</f>
        <v>0</v>
      </c>
      <c r="M230" s="114">
        <f>(Simulation!$C$20/12*(1+Simulation!$F$19)^INT((B230-1)/12)+F230)*(B230&lt;=Simulation!$F$24*12)</f>
        <v>0</v>
      </c>
      <c r="N230" s="114">
        <f ca="1">SUMIF('Détail fiscalité'!$B$8:$B$37,INT(B230/12),'Détail fiscalité'!$CI$8:$CI$37)/12+SUMIF('Détail fiscalité'!$B$8:$B$37,B230/12,'Détail fiscalité'!$CI$8:$CI$37)-SUMIF('Détail fiscalité'!$B$8:$B$37,B230/12-1,'Détail fiscalité'!$CI$8:$CI$37)</f>
        <v>0</v>
      </c>
      <c r="O230" s="116">
        <f t="shared" ca="1" si="22"/>
        <v>0</v>
      </c>
    </row>
    <row r="231" spans="2:15" x14ac:dyDescent="0.15">
      <c r="B231" s="40">
        <f t="shared" si="21"/>
        <v>224</v>
      </c>
      <c r="C231" s="113">
        <f>IF(B231&lt;=MIN(Simulation!$F$10*12+Simulation!$F$12*OR(Simulation!$F$11="Amortissable différé partiel",Simulation!$F$11="Amortissable différé total"),Simulation!$F$24*12),IF(AND(B231&lt;=Simulation!$F$12,OR(Simulation!$F$11="Amortissable différé partiel",Simulation!$F$11="Amortissable différé total")),C230*(1+(Simulation!$F$11="Amortissable différé total")*Simulation!$F$8/12),C230-D231),0)</f>
        <v>0</v>
      </c>
      <c r="D231" s="114">
        <f>IF(B231&lt;=MIN(Simulation!$F$10*12+Simulation!$F$12*OR(Simulation!$F$11="Amortissable différé partiel",Simulation!$F$11="Amortissable différé total"),Simulation!$F$24*12),G231-E231,0)</f>
        <v>0</v>
      </c>
      <c r="E231" s="114">
        <f>IF(B231&lt;=MIN(Simulation!$F$10*12+Simulation!$F$12*OR(Simulation!$F$11="Amortissable différé partiel",Simulation!$F$11="Amortissable différé total"),Simulation!$F$24*12),IF(AND(B231&lt;=Simulation!$F$12,Simulation!$F$11="Amortissable différé total"),0,C230*Simulation!$F$8/12),0)</f>
        <v>0</v>
      </c>
      <c r="F231" s="114">
        <f>IF(B231&lt;=MIN(Simulation!$F$10*12+Simulation!$F$12*OR(Simulation!$F$11="Amortissable différé partiel",Simulation!$F$11="Amortissable différé total"),Simulation!$F$24*12),Simulation!$E$33*Simulation!$F$9/12,0)</f>
        <v>0</v>
      </c>
      <c r="G231" s="115">
        <f>IF(B231&lt;=MIN(Simulation!$F$10*12+Simulation!$F$12*OR(Simulation!$F$11="Amortissable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partiel",IF(B231&lt;=Simulation!$F$12,Simulation!$E$33*Simulation!$F$8/12,PMT(Simulation!$F$8/12,Simulation!$F$10*12,-Simulation!$E$34)),IF(Simulation!$F$11="Amortissable différé total",IF(B231&lt;=Simulation!$F$12,0,PMT(Simulation!$F$8/12,Simulation!$F$10*12,-Simulation!$E$34)),IF(Simulation!$F$11="In fine",IF(B231=Simulation!$F$10*12,Simulation!$E$34,Simulation!$F$8*Simulation!$E$34/12),0)))),0)</f>
        <v>0</v>
      </c>
      <c r="H231" s="113">
        <f>Simulation!$C$16/12*(1+Simulation!$F$15)^INT((B231-1)/12)*(B231&lt;=Simulation!$F$24*12)</f>
        <v>0</v>
      </c>
      <c r="I231" s="114">
        <f>(Simulation!$F$22-VLOOKUP(Simulation!$C$27,'Comparatif fiscal'!$B$8:$E$17,4,FALSE)-C231)*(B231=Simulation!$F$24*12)</f>
        <v>0</v>
      </c>
      <c r="J231" s="114">
        <f>(Simulation!$C$21+Simulation!$C$22)/12*(1+Simulation!$F$17)^INT((B231-1)/12)*(B231&lt;=Simulation!$F$24*12)</f>
        <v>0</v>
      </c>
      <c r="K231" s="114">
        <f>(H231*Simulation!$C$24+Simulation!$C$23/12*(1+Simulation!$F$15)^INT((B231-1)/12))*(B231&lt;=Simulation!$F$24*12)</f>
        <v>0</v>
      </c>
      <c r="L231" s="114">
        <f>Simulation!$C$19/12*(1+Simulation!$F$18)^INT((B231-1)/12)*(B231&lt;=Simulation!$F$24*12)</f>
        <v>0</v>
      </c>
      <c r="M231" s="114">
        <f>(Simulation!$C$20/12*(1+Simulation!$F$19)^INT((B231-1)/12)+F231)*(B231&lt;=Simulation!$F$24*12)</f>
        <v>0</v>
      </c>
      <c r="N231" s="114">
        <f ca="1">SUMIF('Détail fiscalité'!$B$8:$B$37,INT(B231/12),'Détail fiscalité'!$CI$8:$CI$37)/12+SUMIF('Détail fiscalité'!$B$8:$B$37,B231/12,'Détail fiscalité'!$CI$8:$CI$37)-SUMIF('Détail fiscalité'!$B$8:$B$37,B231/12-1,'Détail fiscalité'!$CI$8:$CI$37)</f>
        <v>0</v>
      </c>
      <c r="O231" s="116">
        <f t="shared" ca="1" si="22"/>
        <v>0</v>
      </c>
    </row>
    <row r="232" spans="2:15" x14ac:dyDescent="0.15">
      <c r="B232" s="40">
        <f t="shared" si="21"/>
        <v>225</v>
      </c>
      <c r="C232" s="113">
        <f>IF(B232&lt;=MIN(Simulation!$F$10*12+Simulation!$F$12*OR(Simulation!$F$11="Amortissable différé partiel",Simulation!$F$11="Amortissable différé total"),Simulation!$F$24*12),IF(AND(B232&lt;=Simulation!$F$12,OR(Simulation!$F$11="Amortissable différé partiel",Simulation!$F$11="Amortissable différé total")),C231*(1+(Simulation!$F$11="Amortissable différé total")*Simulation!$F$8/12),C231-D232),0)</f>
        <v>0</v>
      </c>
      <c r="D232" s="114">
        <f>IF(B232&lt;=MIN(Simulation!$F$10*12+Simulation!$F$12*OR(Simulation!$F$11="Amortissable différé partiel",Simulation!$F$11="Amortissable différé total"),Simulation!$F$24*12),G232-E232,0)</f>
        <v>0</v>
      </c>
      <c r="E232" s="114">
        <f>IF(B232&lt;=MIN(Simulation!$F$10*12+Simulation!$F$12*OR(Simulation!$F$11="Amortissable différé partiel",Simulation!$F$11="Amortissable différé total"),Simulation!$F$24*12),IF(AND(B232&lt;=Simulation!$F$12,Simulation!$F$11="Amortissable différé total"),0,C231*Simulation!$F$8/12),0)</f>
        <v>0</v>
      </c>
      <c r="F232" s="114">
        <f>IF(B232&lt;=MIN(Simulation!$F$10*12+Simulation!$F$12*OR(Simulation!$F$11="Amortissable différé partiel",Simulation!$F$11="Amortissable différé total"),Simulation!$F$24*12),Simulation!$E$33*Simulation!$F$9/12,0)</f>
        <v>0</v>
      </c>
      <c r="G232" s="115">
        <f>IF(B232&lt;=MIN(Simulation!$F$10*12+Simulation!$F$12*OR(Simulation!$F$11="Amortissable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partiel",IF(B232&lt;=Simulation!$F$12,Simulation!$E$33*Simulation!$F$8/12,PMT(Simulation!$F$8/12,Simulation!$F$10*12,-Simulation!$E$34)),IF(Simulation!$F$11="Amortissable différé total",IF(B232&lt;=Simulation!$F$12,0,PMT(Simulation!$F$8/12,Simulation!$F$10*12,-Simulation!$E$34)),IF(Simulation!$F$11="In fine",IF(B232=Simulation!$F$10*12,Simulation!$E$34,Simulation!$F$8*Simulation!$E$34/12),0)))),0)</f>
        <v>0</v>
      </c>
      <c r="H232" s="113">
        <f>Simulation!$C$16/12*(1+Simulation!$F$15)^INT((B232-1)/12)*(B232&lt;=Simulation!$F$24*12)</f>
        <v>0</v>
      </c>
      <c r="I232" s="114">
        <f>(Simulation!$F$22-VLOOKUP(Simulation!$C$27,'Comparatif fiscal'!$B$8:$E$17,4,FALSE)-C232)*(B232=Simulation!$F$24*12)</f>
        <v>0</v>
      </c>
      <c r="J232" s="114">
        <f>(Simulation!$C$21+Simulation!$C$22)/12*(1+Simulation!$F$17)^INT((B232-1)/12)*(B232&lt;=Simulation!$F$24*12)</f>
        <v>0</v>
      </c>
      <c r="K232" s="114">
        <f>(H232*Simulation!$C$24+Simulation!$C$23/12*(1+Simulation!$F$15)^INT((B232-1)/12))*(B232&lt;=Simulation!$F$24*12)</f>
        <v>0</v>
      </c>
      <c r="L232" s="114">
        <f>Simulation!$C$19/12*(1+Simulation!$F$18)^INT((B232-1)/12)*(B232&lt;=Simulation!$F$24*12)</f>
        <v>0</v>
      </c>
      <c r="M232" s="114">
        <f>(Simulation!$C$20/12*(1+Simulation!$F$19)^INT((B232-1)/12)+F232)*(B232&lt;=Simulation!$F$24*12)</f>
        <v>0</v>
      </c>
      <c r="N232" s="114">
        <f ca="1">SUMIF('Détail fiscalité'!$B$8:$B$37,INT(B232/12),'Détail fiscalité'!$CI$8:$CI$37)/12+SUMIF('Détail fiscalité'!$B$8:$B$37,B232/12,'Détail fiscalité'!$CI$8:$CI$37)-SUMIF('Détail fiscalité'!$B$8:$B$37,B232/12-1,'Détail fiscalité'!$CI$8:$CI$37)</f>
        <v>0</v>
      </c>
      <c r="O232" s="116">
        <f t="shared" ca="1" si="22"/>
        <v>0</v>
      </c>
    </row>
    <row r="233" spans="2:15" x14ac:dyDescent="0.15">
      <c r="B233" s="40">
        <f t="shared" si="21"/>
        <v>226</v>
      </c>
      <c r="C233" s="113">
        <f>IF(B233&lt;=MIN(Simulation!$F$10*12+Simulation!$F$12*OR(Simulation!$F$11="Amortissable différé partiel",Simulation!$F$11="Amortissable différé total"),Simulation!$F$24*12),IF(AND(B233&lt;=Simulation!$F$12,OR(Simulation!$F$11="Amortissable différé partiel",Simulation!$F$11="Amortissable différé total")),C232*(1+(Simulation!$F$11="Amortissable différé total")*Simulation!$F$8/12),C232-D233),0)</f>
        <v>0</v>
      </c>
      <c r="D233" s="114">
        <f>IF(B233&lt;=MIN(Simulation!$F$10*12+Simulation!$F$12*OR(Simulation!$F$11="Amortissable différé partiel",Simulation!$F$11="Amortissable différé total"),Simulation!$F$24*12),G233-E233,0)</f>
        <v>0</v>
      </c>
      <c r="E233" s="114">
        <f>IF(B233&lt;=MIN(Simulation!$F$10*12+Simulation!$F$12*OR(Simulation!$F$11="Amortissable différé partiel",Simulation!$F$11="Amortissable différé total"),Simulation!$F$24*12),IF(AND(B233&lt;=Simulation!$F$12,Simulation!$F$11="Amortissable différé total"),0,C232*Simulation!$F$8/12),0)</f>
        <v>0</v>
      </c>
      <c r="F233" s="114">
        <f>IF(B233&lt;=MIN(Simulation!$F$10*12+Simulation!$F$12*OR(Simulation!$F$11="Amortissable différé partiel",Simulation!$F$11="Amortissable différé total"),Simulation!$F$24*12),Simulation!$E$33*Simulation!$F$9/12,0)</f>
        <v>0</v>
      </c>
      <c r="G233" s="115">
        <f>IF(B233&lt;=MIN(Simulation!$F$10*12+Simulation!$F$12*OR(Simulation!$F$11="Amortissable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partiel",IF(B233&lt;=Simulation!$F$12,Simulation!$E$33*Simulation!$F$8/12,PMT(Simulation!$F$8/12,Simulation!$F$10*12,-Simulation!$E$34)),IF(Simulation!$F$11="Amortissable différé total",IF(B233&lt;=Simulation!$F$12,0,PMT(Simulation!$F$8/12,Simulation!$F$10*12,-Simulation!$E$34)),IF(Simulation!$F$11="In fine",IF(B233=Simulation!$F$10*12,Simulation!$E$34,Simulation!$F$8*Simulation!$E$34/12),0)))),0)</f>
        <v>0</v>
      </c>
      <c r="H233" s="113">
        <f>Simulation!$C$16/12*(1+Simulation!$F$15)^INT((B233-1)/12)*(B233&lt;=Simulation!$F$24*12)</f>
        <v>0</v>
      </c>
      <c r="I233" s="114">
        <f>(Simulation!$F$22-VLOOKUP(Simulation!$C$27,'Comparatif fiscal'!$B$8:$E$17,4,FALSE)-C233)*(B233=Simulation!$F$24*12)</f>
        <v>0</v>
      </c>
      <c r="J233" s="114">
        <f>(Simulation!$C$21+Simulation!$C$22)/12*(1+Simulation!$F$17)^INT((B233-1)/12)*(B233&lt;=Simulation!$F$24*12)</f>
        <v>0</v>
      </c>
      <c r="K233" s="114">
        <f>(H233*Simulation!$C$24+Simulation!$C$23/12*(1+Simulation!$F$15)^INT((B233-1)/12))*(B233&lt;=Simulation!$F$24*12)</f>
        <v>0</v>
      </c>
      <c r="L233" s="114">
        <f>Simulation!$C$19/12*(1+Simulation!$F$18)^INT((B233-1)/12)*(B233&lt;=Simulation!$F$24*12)</f>
        <v>0</v>
      </c>
      <c r="M233" s="114">
        <f>(Simulation!$C$20/12*(1+Simulation!$F$19)^INT((B233-1)/12)+F233)*(B233&lt;=Simulation!$F$24*12)</f>
        <v>0</v>
      </c>
      <c r="N233" s="114">
        <f ca="1">SUMIF('Détail fiscalité'!$B$8:$B$37,INT(B233/12),'Détail fiscalité'!$CI$8:$CI$37)/12+SUMIF('Détail fiscalité'!$B$8:$B$37,B233/12,'Détail fiscalité'!$CI$8:$CI$37)-SUMIF('Détail fiscalité'!$B$8:$B$37,B233/12-1,'Détail fiscalité'!$CI$8:$CI$37)</f>
        <v>0</v>
      </c>
      <c r="O233" s="116">
        <f t="shared" ca="1" si="22"/>
        <v>0</v>
      </c>
    </row>
    <row r="234" spans="2:15" x14ac:dyDescent="0.15">
      <c r="B234" s="40">
        <f t="shared" si="21"/>
        <v>227</v>
      </c>
      <c r="C234" s="113">
        <f>IF(B234&lt;=MIN(Simulation!$F$10*12+Simulation!$F$12*OR(Simulation!$F$11="Amortissable différé partiel",Simulation!$F$11="Amortissable différé total"),Simulation!$F$24*12),IF(AND(B234&lt;=Simulation!$F$12,OR(Simulation!$F$11="Amortissable différé partiel",Simulation!$F$11="Amortissable différé total")),C233*(1+(Simulation!$F$11="Amortissable différé total")*Simulation!$F$8/12),C233-D234),0)</f>
        <v>0</v>
      </c>
      <c r="D234" s="114">
        <f>IF(B234&lt;=MIN(Simulation!$F$10*12+Simulation!$F$12*OR(Simulation!$F$11="Amortissable différé partiel",Simulation!$F$11="Amortissable différé total"),Simulation!$F$24*12),G234-E234,0)</f>
        <v>0</v>
      </c>
      <c r="E234" s="114">
        <f>IF(B234&lt;=MIN(Simulation!$F$10*12+Simulation!$F$12*OR(Simulation!$F$11="Amortissable différé partiel",Simulation!$F$11="Amortissable différé total"),Simulation!$F$24*12),IF(AND(B234&lt;=Simulation!$F$12,Simulation!$F$11="Amortissable différé total"),0,C233*Simulation!$F$8/12),0)</f>
        <v>0</v>
      </c>
      <c r="F234" s="114">
        <f>IF(B234&lt;=MIN(Simulation!$F$10*12+Simulation!$F$12*OR(Simulation!$F$11="Amortissable différé partiel",Simulation!$F$11="Amortissable différé total"),Simulation!$F$24*12),Simulation!$E$33*Simulation!$F$9/12,0)</f>
        <v>0</v>
      </c>
      <c r="G234" s="115">
        <f>IF(B234&lt;=MIN(Simulation!$F$10*12+Simulation!$F$12*OR(Simulation!$F$11="Amortissable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partiel",IF(B234&lt;=Simulation!$F$12,Simulation!$E$33*Simulation!$F$8/12,PMT(Simulation!$F$8/12,Simulation!$F$10*12,-Simulation!$E$34)),IF(Simulation!$F$11="Amortissable différé total",IF(B234&lt;=Simulation!$F$12,0,PMT(Simulation!$F$8/12,Simulation!$F$10*12,-Simulation!$E$34)),IF(Simulation!$F$11="In fine",IF(B234=Simulation!$F$10*12,Simulation!$E$34,Simulation!$F$8*Simulation!$E$34/12),0)))),0)</f>
        <v>0</v>
      </c>
      <c r="H234" s="113">
        <f>Simulation!$C$16/12*(1+Simulation!$F$15)^INT((B234-1)/12)*(B234&lt;=Simulation!$F$24*12)</f>
        <v>0</v>
      </c>
      <c r="I234" s="114">
        <f>(Simulation!$F$22-VLOOKUP(Simulation!$C$27,'Comparatif fiscal'!$B$8:$E$17,4,FALSE)-C234)*(B234=Simulation!$F$24*12)</f>
        <v>0</v>
      </c>
      <c r="J234" s="114">
        <f>(Simulation!$C$21+Simulation!$C$22)/12*(1+Simulation!$F$17)^INT((B234-1)/12)*(B234&lt;=Simulation!$F$24*12)</f>
        <v>0</v>
      </c>
      <c r="K234" s="114">
        <f>(H234*Simulation!$C$24+Simulation!$C$23/12*(1+Simulation!$F$15)^INT((B234-1)/12))*(B234&lt;=Simulation!$F$24*12)</f>
        <v>0</v>
      </c>
      <c r="L234" s="114">
        <f>Simulation!$C$19/12*(1+Simulation!$F$18)^INT((B234-1)/12)*(B234&lt;=Simulation!$F$24*12)</f>
        <v>0</v>
      </c>
      <c r="M234" s="114">
        <f>(Simulation!$C$20/12*(1+Simulation!$F$19)^INT((B234-1)/12)+F234)*(B234&lt;=Simulation!$F$24*12)</f>
        <v>0</v>
      </c>
      <c r="N234" s="114">
        <f ca="1">SUMIF('Détail fiscalité'!$B$8:$B$37,INT(B234/12),'Détail fiscalité'!$CI$8:$CI$37)/12+SUMIF('Détail fiscalité'!$B$8:$B$37,B234/12,'Détail fiscalité'!$CI$8:$CI$37)-SUMIF('Détail fiscalité'!$B$8:$B$37,B234/12-1,'Détail fiscalité'!$CI$8:$CI$37)</f>
        <v>0</v>
      </c>
      <c r="O234" s="116">
        <f t="shared" ca="1" si="22"/>
        <v>0</v>
      </c>
    </row>
    <row r="235" spans="2:15" x14ac:dyDescent="0.15">
      <c r="B235" s="40">
        <f t="shared" si="21"/>
        <v>228</v>
      </c>
      <c r="C235" s="113">
        <f>IF(B235&lt;=MIN(Simulation!$F$10*12+Simulation!$F$12*OR(Simulation!$F$11="Amortissable différé partiel",Simulation!$F$11="Amortissable différé total"),Simulation!$F$24*12),IF(AND(B235&lt;=Simulation!$F$12,OR(Simulation!$F$11="Amortissable différé partiel",Simulation!$F$11="Amortissable différé total")),C234*(1+(Simulation!$F$11="Amortissable différé total")*Simulation!$F$8/12),C234-D235),0)</f>
        <v>0</v>
      </c>
      <c r="D235" s="114">
        <f>IF(B235&lt;=MIN(Simulation!$F$10*12+Simulation!$F$12*OR(Simulation!$F$11="Amortissable différé partiel",Simulation!$F$11="Amortissable différé total"),Simulation!$F$24*12),G235-E235,0)</f>
        <v>0</v>
      </c>
      <c r="E235" s="114">
        <f>IF(B235&lt;=MIN(Simulation!$F$10*12+Simulation!$F$12*OR(Simulation!$F$11="Amortissable différé partiel",Simulation!$F$11="Amortissable différé total"),Simulation!$F$24*12),IF(AND(B235&lt;=Simulation!$F$12,Simulation!$F$11="Amortissable différé total"),0,C234*Simulation!$F$8/12),0)</f>
        <v>0</v>
      </c>
      <c r="F235" s="114">
        <f>IF(B235&lt;=MIN(Simulation!$F$10*12+Simulation!$F$12*OR(Simulation!$F$11="Amortissable différé partiel",Simulation!$F$11="Amortissable différé total"),Simulation!$F$24*12),Simulation!$E$33*Simulation!$F$9/12,0)</f>
        <v>0</v>
      </c>
      <c r="G235" s="115">
        <f>IF(B235&lt;=MIN(Simulation!$F$10*12+Simulation!$F$12*OR(Simulation!$F$11="Amortissable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partiel",IF(B235&lt;=Simulation!$F$12,Simulation!$E$33*Simulation!$F$8/12,PMT(Simulation!$F$8/12,Simulation!$F$10*12,-Simulation!$E$34)),IF(Simulation!$F$11="Amortissable différé total",IF(B235&lt;=Simulation!$F$12,0,PMT(Simulation!$F$8/12,Simulation!$F$10*12,-Simulation!$E$34)),IF(Simulation!$F$11="In fine",IF(B235=Simulation!$F$10*12,Simulation!$E$34,Simulation!$F$8*Simulation!$E$34/12),0)))),0)</f>
        <v>0</v>
      </c>
      <c r="H235" s="113">
        <f>Simulation!$C$16/12*(1+Simulation!$F$15)^INT((B235-1)/12)*(B235&lt;=Simulation!$F$24*12)</f>
        <v>0</v>
      </c>
      <c r="I235" s="114">
        <f>(Simulation!$F$22-VLOOKUP(Simulation!$C$27,'Comparatif fiscal'!$B$8:$E$17,4,FALSE)-C235)*(B235=Simulation!$F$24*12)</f>
        <v>0</v>
      </c>
      <c r="J235" s="114">
        <f>(Simulation!$C$21+Simulation!$C$22)/12*(1+Simulation!$F$17)^INT((B235-1)/12)*(B235&lt;=Simulation!$F$24*12)</f>
        <v>0</v>
      </c>
      <c r="K235" s="114">
        <f>(H235*Simulation!$C$24+Simulation!$C$23/12*(1+Simulation!$F$15)^INT((B235-1)/12))*(B235&lt;=Simulation!$F$24*12)</f>
        <v>0</v>
      </c>
      <c r="L235" s="114">
        <f>Simulation!$C$19/12*(1+Simulation!$F$18)^INT((B235-1)/12)*(B235&lt;=Simulation!$F$24*12)</f>
        <v>0</v>
      </c>
      <c r="M235" s="114">
        <f>(Simulation!$C$20/12*(1+Simulation!$F$19)^INT((B235-1)/12)+F235)*(B235&lt;=Simulation!$F$24*12)</f>
        <v>0</v>
      </c>
      <c r="N235" s="114">
        <f ca="1">SUMIF('Détail fiscalité'!$B$8:$B$37,INT(B235/12),'Détail fiscalité'!$CI$8:$CI$37)/12+SUMIF('Détail fiscalité'!$B$8:$B$37,B235/12,'Détail fiscalité'!$CI$8:$CI$37)-SUMIF('Détail fiscalité'!$B$8:$B$37,B235/12-1,'Détail fiscalité'!$CI$8:$CI$37)</f>
        <v>0</v>
      </c>
      <c r="O235" s="116">
        <f t="shared" ca="1" si="22"/>
        <v>0</v>
      </c>
    </row>
    <row r="236" spans="2:15" x14ac:dyDescent="0.15">
      <c r="B236" s="40">
        <f t="shared" si="21"/>
        <v>229</v>
      </c>
      <c r="C236" s="113">
        <f>IF(B236&lt;=MIN(Simulation!$F$10*12+Simulation!$F$12*OR(Simulation!$F$11="Amortissable différé partiel",Simulation!$F$11="Amortissable différé total"),Simulation!$F$24*12),IF(AND(B236&lt;=Simulation!$F$12,OR(Simulation!$F$11="Amortissable différé partiel",Simulation!$F$11="Amortissable différé total")),C235*(1+(Simulation!$F$11="Amortissable différé total")*Simulation!$F$8/12),C235-D236),0)</f>
        <v>0</v>
      </c>
      <c r="D236" s="114">
        <f>IF(B236&lt;=MIN(Simulation!$F$10*12+Simulation!$F$12*OR(Simulation!$F$11="Amortissable différé partiel",Simulation!$F$11="Amortissable différé total"),Simulation!$F$24*12),G236-E236,0)</f>
        <v>0</v>
      </c>
      <c r="E236" s="114">
        <f>IF(B236&lt;=MIN(Simulation!$F$10*12+Simulation!$F$12*OR(Simulation!$F$11="Amortissable différé partiel",Simulation!$F$11="Amortissable différé total"),Simulation!$F$24*12),IF(AND(B236&lt;=Simulation!$F$12,Simulation!$F$11="Amortissable différé total"),0,C235*Simulation!$F$8/12),0)</f>
        <v>0</v>
      </c>
      <c r="F236" s="114">
        <f>IF(B236&lt;=MIN(Simulation!$F$10*12+Simulation!$F$12*OR(Simulation!$F$11="Amortissable différé partiel",Simulation!$F$11="Amortissable différé total"),Simulation!$F$24*12),Simulation!$E$33*Simulation!$F$9/12,0)</f>
        <v>0</v>
      </c>
      <c r="G236" s="115">
        <f>IF(B236&lt;=MIN(Simulation!$F$10*12+Simulation!$F$12*OR(Simulation!$F$11="Amortissable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partiel",IF(B236&lt;=Simulation!$F$12,Simulation!$E$33*Simulation!$F$8/12,PMT(Simulation!$F$8/12,Simulation!$F$10*12,-Simulation!$E$34)),IF(Simulation!$F$11="Amortissable différé total",IF(B236&lt;=Simulation!$F$12,0,PMT(Simulation!$F$8/12,Simulation!$F$10*12,-Simulation!$E$34)),IF(Simulation!$F$11="In fine",IF(B236=Simulation!$F$10*12,Simulation!$E$34,Simulation!$F$8*Simulation!$E$34/12),0)))),0)</f>
        <v>0</v>
      </c>
      <c r="H236" s="113">
        <f>Simulation!$C$16/12*(1+Simulation!$F$15)^INT((B236-1)/12)*(B236&lt;=Simulation!$F$24*12)</f>
        <v>0</v>
      </c>
      <c r="I236" s="114">
        <f>(Simulation!$F$22-VLOOKUP(Simulation!$C$27,'Comparatif fiscal'!$B$8:$E$17,4,FALSE)-C236)*(B236=Simulation!$F$24*12)</f>
        <v>0</v>
      </c>
      <c r="J236" s="114">
        <f>(Simulation!$C$21+Simulation!$C$22)/12*(1+Simulation!$F$17)^INT((B236-1)/12)*(B236&lt;=Simulation!$F$24*12)</f>
        <v>0</v>
      </c>
      <c r="K236" s="114">
        <f>(H236*Simulation!$C$24+Simulation!$C$23/12*(1+Simulation!$F$15)^INT((B236-1)/12))*(B236&lt;=Simulation!$F$24*12)</f>
        <v>0</v>
      </c>
      <c r="L236" s="114">
        <f>Simulation!$C$19/12*(1+Simulation!$F$18)^INT((B236-1)/12)*(B236&lt;=Simulation!$F$24*12)</f>
        <v>0</v>
      </c>
      <c r="M236" s="114">
        <f>(Simulation!$C$20/12*(1+Simulation!$F$19)^INT((B236-1)/12)+F236)*(B236&lt;=Simulation!$F$24*12)</f>
        <v>0</v>
      </c>
      <c r="N236" s="114">
        <f ca="1">SUMIF('Détail fiscalité'!$B$8:$B$37,INT(B236/12),'Détail fiscalité'!$CI$8:$CI$37)/12+SUMIF('Détail fiscalité'!$B$8:$B$37,B236/12,'Détail fiscalité'!$CI$8:$CI$37)-SUMIF('Détail fiscalité'!$B$8:$B$37,B236/12-1,'Détail fiscalité'!$CI$8:$CI$37)</f>
        <v>0</v>
      </c>
      <c r="O236" s="116">
        <f t="shared" ca="1" si="22"/>
        <v>0</v>
      </c>
    </row>
    <row r="237" spans="2:15" x14ac:dyDescent="0.15">
      <c r="B237" s="40">
        <f t="shared" si="21"/>
        <v>230</v>
      </c>
      <c r="C237" s="113">
        <f>IF(B237&lt;=MIN(Simulation!$F$10*12+Simulation!$F$12*OR(Simulation!$F$11="Amortissable différé partiel",Simulation!$F$11="Amortissable différé total"),Simulation!$F$24*12),IF(AND(B237&lt;=Simulation!$F$12,OR(Simulation!$F$11="Amortissable différé partiel",Simulation!$F$11="Amortissable différé total")),C236*(1+(Simulation!$F$11="Amortissable différé total")*Simulation!$F$8/12),C236-D237),0)</f>
        <v>0</v>
      </c>
      <c r="D237" s="114">
        <f>IF(B237&lt;=MIN(Simulation!$F$10*12+Simulation!$F$12*OR(Simulation!$F$11="Amortissable différé partiel",Simulation!$F$11="Amortissable différé total"),Simulation!$F$24*12),G237-E237,0)</f>
        <v>0</v>
      </c>
      <c r="E237" s="114">
        <f>IF(B237&lt;=MIN(Simulation!$F$10*12+Simulation!$F$12*OR(Simulation!$F$11="Amortissable différé partiel",Simulation!$F$11="Amortissable différé total"),Simulation!$F$24*12),IF(AND(B237&lt;=Simulation!$F$12,Simulation!$F$11="Amortissable différé total"),0,C236*Simulation!$F$8/12),0)</f>
        <v>0</v>
      </c>
      <c r="F237" s="114">
        <f>IF(B237&lt;=MIN(Simulation!$F$10*12+Simulation!$F$12*OR(Simulation!$F$11="Amortissable différé partiel",Simulation!$F$11="Amortissable différé total"),Simulation!$F$24*12),Simulation!$E$33*Simulation!$F$9/12,0)</f>
        <v>0</v>
      </c>
      <c r="G237" s="115">
        <f>IF(B237&lt;=MIN(Simulation!$F$10*12+Simulation!$F$12*OR(Simulation!$F$11="Amortissable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partiel",IF(B237&lt;=Simulation!$F$12,Simulation!$E$33*Simulation!$F$8/12,PMT(Simulation!$F$8/12,Simulation!$F$10*12,-Simulation!$E$34)),IF(Simulation!$F$11="Amortissable différé total",IF(B237&lt;=Simulation!$F$12,0,PMT(Simulation!$F$8/12,Simulation!$F$10*12,-Simulation!$E$34)),IF(Simulation!$F$11="In fine",IF(B237=Simulation!$F$10*12,Simulation!$E$34,Simulation!$F$8*Simulation!$E$34/12),0)))),0)</f>
        <v>0</v>
      </c>
      <c r="H237" s="113">
        <f>Simulation!$C$16/12*(1+Simulation!$F$15)^INT((B237-1)/12)*(B237&lt;=Simulation!$F$24*12)</f>
        <v>0</v>
      </c>
      <c r="I237" s="114">
        <f>(Simulation!$F$22-VLOOKUP(Simulation!$C$27,'Comparatif fiscal'!$B$8:$E$17,4,FALSE)-C237)*(B237=Simulation!$F$24*12)</f>
        <v>0</v>
      </c>
      <c r="J237" s="114">
        <f>(Simulation!$C$21+Simulation!$C$22)/12*(1+Simulation!$F$17)^INT((B237-1)/12)*(B237&lt;=Simulation!$F$24*12)</f>
        <v>0</v>
      </c>
      <c r="K237" s="114">
        <f>(H237*Simulation!$C$24+Simulation!$C$23/12*(1+Simulation!$F$15)^INT((B237-1)/12))*(B237&lt;=Simulation!$F$24*12)</f>
        <v>0</v>
      </c>
      <c r="L237" s="114">
        <f>Simulation!$C$19/12*(1+Simulation!$F$18)^INT((B237-1)/12)*(B237&lt;=Simulation!$F$24*12)</f>
        <v>0</v>
      </c>
      <c r="M237" s="114">
        <f>(Simulation!$C$20/12*(1+Simulation!$F$19)^INT((B237-1)/12)+F237)*(B237&lt;=Simulation!$F$24*12)</f>
        <v>0</v>
      </c>
      <c r="N237" s="114">
        <f ca="1">SUMIF('Détail fiscalité'!$B$8:$B$37,INT(B237/12),'Détail fiscalité'!$CI$8:$CI$37)/12+SUMIF('Détail fiscalité'!$B$8:$B$37,B237/12,'Détail fiscalité'!$CI$8:$CI$37)-SUMIF('Détail fiscalité'!$B$8:$B$37,B237/12-1,'Détail fiscalité'!$CI$8:$CI$37)</f>
        <v>0</v>
      </c>
      <c r="O237" s="116">
        <f t="shared" ca="1" si="22"/>
        <v>0</v>
      </c>
    </row>
    <row r="238" spans="2:15" x14ac:dyDescent="0.15">
      <c r="B238" s="40">
        <f t="shared" si="21"/>
        <v>231</v>
      </c>
      <c r="C238" s="113">
        <f>IF(B238&lt;=MIN(Simulation!$F$10*12+Simulation!$F$12*OR(Simulation!$F$11="Amortissable différé partiel",Simulation!$F$11="Amortissable différé total"),Simulation!$F$24*12),IF(AND(B238&lt;=Simulation!$F$12,OR(Simulation!$F$11="Amortissable différé partiel",Simulation!$F$11="Amortissable différé total")),C237*(1+(Simulation!$F$11="Amortissable différé total")*Simulation!$F$8/12),C237-D238),0)</f>
        <v>0</v>
      </c>
      <c r="D238" s="114">
        <f>IF(B238&lt;=MIN(Simulation!$F$10*12+Simulation!$F$12*OR(Simulation!$F$11="Amortissable différé partiel",Simulation!$F$11="Amortissable différé total"),Simulation!$F$24*12),G238-E238,0)</f>
        <v>0</v>
      </c>
      <c r="E238" s="114">
        <f>IF(B238&lt;=MIN(Simulation!$F$10*12+Simulation!$F$12*OR(Simulation!$F$11="Amortissable différé partiel",Simulation!$F$11="Amortissable différé total"),Simulation!$F$24*12),IF(AND(B238&lt;=Simulation!$F$12,Simulation!$F$11="Amortissable différé total"),0,C237*Simulation!$F$8/12),0)</f>
        <v>0</v>
      </c>
      <c r="F238" s="114">
        <f>IF(B238&lt;=MIN(Simulation!$F$10*12+Simulation!$F$12*OR(Simulation!$F$11="Amortissable différé partiel",Simulation!$F$11="Amortissable différé total"),Simulation!$F$24*12),Simulation!$E$33*Simulation!$F$9/12,0)</f>
        <v>0</v>
      </c>
      <c r="G238" s="115">
        <f>IF(B238&lt;=MIN(Simulation!$F$10*12+Simulation!$F$12*OR(Simulation!$F$11="Amortissable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partiel",IF(B238&lt;=Simulation!$F$12,Simulation!$E$33*Simulation!$F$8/12,PMT(Simulation!$F$8/12,Simulation!$F$10*12,-Simulation!$E$34)),IF(Simulation!$F$11="Amortissable différé total",IF(B238&lt;=Simulation!$F$12,0,PMT(Simulation!$F$8/12,Simulation!$F$10*12,-Simulation!$E$34)),IF(Simulation!$F$11="In fine",IF(B238=Simulation!$F$10*12,Simulation!$E$34,Simulation!$F$8*Simulation!$E$34/12),0)))),0)</f>
        <v>0</v>
      </c>
      <c r="H238" s="113">
        <f>Simulation!$C$16/12*(1+Simulation!$F$15)^INT((B238-1)/12)*(B238&lt;=Simulation!$F$24*12)</f>
        <v>0</v>
      </c>
      <c r="I238" s="114">
        <f>(Simulation!$F$22-VLOOKUP(Simulation!$C$27,'Comparatif fiscal'!$B$8:$E$17,4,FALSE)-C238)*(B238=Simulation!$F$24*12)</f>
        <v>0</v>
      </c>
      <c r="J238" s="114">
        <f>(Simulation!$C$21+Simulation!$C$22)/12*(1+Simulation!$F$17)^INT((B238-1)/12)*(B238&lt;=Simulation!$F$24*12)</f>
        <v>0</v>
      </c>
      <c r="K238" s="114">
        <f>(H238*Simulation!$C$24+Simulation!$C$23/12*(1+Simulation!$F$15)^INT((B238-1)/12))*(B238&lt;=Simulation!$F$24*12)</f>
        <v>0</v>
      </c>
      <c r="L238" s="114">
        <f>Simulation!$C$19/12*(1+Simulation!$F$18)^INT((B238-1)/12)*(B238&lt;=Simulation!$F$24*12)</f>
        <v>0</v>
      </c>
      <c r="M238" s="114">
        <f>(Simulation!$C$20/12*(1+Simulation!$F$19)^INT((B238-1)/12)+F238)*(B238&lt;=Simulation!$F$24*12)</f>
        <v>0</v>
      </c>
      <c r="N238" s="114">
        <f ca="1">SUMIF('Détail fiscalité'!$B$8:$B$37,INT(B238/12),'Détail fiscalité'!$CI$8:$CI$37)/12+SUMIF('Détail fiscalité'!$B$8:$B$37,B238/12,'Détail fiscalité'!$CI$8:$CI$37)-SUMIF('Détail fiscalité'!$B$8:$B$37,B238/12-1,'Détail fiscalité'!$CI$8:$CI$37)</f>
        <v>0</v>
      </c>
      <c r="O238" s="116">
        <f t="shared" ca="1" si="22"/>
        <v>0</v>
      </c>
    </row>
    <row r="239" spans="2:15" x14ac:dyDescent="0.15">
      <c r="B239" s="40">
        <f t="shared" si="21"/>
        <v>232</v>
      </c>
      <c r="C239" s="113">
        <f>IF(B239&lt;=MIN(Simulation!$F$10*12+Simulation!$F$12*OR(Simulation!$F$11="Amortissable différé partiel",Simulation!$F$11="Amortissable différé total"),Simulation!$F$24*12),IF(AND(B239&lt;=Simulation!$F$12,OR(Simulation!$F$11="Amortissable différé partiel",Simulation!$F$11="Amortissable différé total")),C238*(1+(Simulation!$F$11="Amortissable différé total")*Simulation!$F$8/12),C238-D239),0)</f>
        <v>0</v>
      </c>
      <c r="D239" s="114">
        <f>IF(B239&lt;=MIN(Simulation!$F$10*12+Simulation!$F$12*OR(Simulation!$F$11="Amortissable différé partiel",Simulation!$F$11="Amortissable différé total"),Simulation!$F$24*12),G239-E239,0)</f>
        <v>0</v>
      </c>
      <c r="E239" s="114">
        <f>IF(B239&lt;=MIN(Simulation!$F$10*12+Simulation!$F$12*OR(Simulation!$F$11="Amortissable différé partiel",Simulation!$F$11="Amortissable différé total"),Simulation!$F$24*12),IF(AND(B239&lt;=Simulation!$F$12,Simulation!$F$11="Amortissable différé total"),0,C238*Simulation!$F$8/12),0)</f>
        <v>0</v>
      </c>
      <c r="F239" s="114">
        <f>IF(B239&lt;=MIN(Simulation!$F$10*12+Simulation!$F$12*OR(Simulation!$F$11="Amortissable différé partiel",Simulation!$F$11="Amortissable différé total"),Simulation!$F$24*12),Simulation!$E$33*Simulation!$F$9/12,0)</f>
        <v>0</v>
      </c>
      <c r="G239" s="115">
        <f>IF(B239&lt;=MIN(Simulation!$F$10*12+Simulation!$F$12*OR(Simulation!$F$11="Amortissable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partiel",IF(B239&lt;=Simulation!$F$12,Simulation!$E$33*Simulation!$F$8/12,PMT(Simulation!$F$8/12,Simulation!$F$10*12,-Simulation!$E$34)),IF(Simulation!$F$11="Amortissable différé total",IF(B239&lt;=Simulation!$F$12,0,PMT(Simulation!$F$8/12,Simulation!$F$10*12,-Simulation!$E$34)),IF(Simulation!$F$11="In fine",IF(B239=Simulation!$F$10*12,Simulation!$E$34,Simulation!$F$8*Simulation!$E$34/12),0)))),0)</f>
        <v>0</v>
      </c>
      <c r="H239" s="113">
        <f>Simulation!$C$16/12*(1+Simulation!$F$15)^INT((B239-1)/12)*(B239&lt;=Simulation!$F$24*12)</f>
        <v>0</v>
      </c>
      <c r="I239" s="114">
        <f>(Simulation!$F$22-VLOOKUP(Simulation!$C$27,'Comparatif fiscal'!$B$8:$E$17,4,FALSE)-C239)*(B239=Simulation!$F$24*12)</f>
        <v>0</v>
      </c>
      <c r="J239" s="114">
        <f>(Simulation!$C$21+Simulation!$C$22)/12*(1+Simulation!$F$17)^INT((B239-1)/12)*(B239&lt;=Simulation!$F$24*12)</f>
        <v>0</v>
      </c>
      <c r="K239" s="114">
        <f>(H239*Simulation!$C$24+Simulation!$C$23/12*(1+Simulation!$F$15)^INT((B239-1)/12))*(B239&lt;=Simulation!$F$24*12)</f>
        <v>0</v>
      </c>
      <c r="L239" s="114">
        <f>Simulation!$C$19/12*(1+Simulation!$F$18)^INT((B239-1)/12)*(B239&lt;=Simulation!$F$24*12)</f>
        <v>0</v>
      </c>
      <c r="M239" s="114">
        <f>(Simulation!$C$20/12*(1+Simulation!$F$19)^INT((B239-1)/12)+F239)*(B239&lt;=Simulation!$F$24*12)</f>
        <v>0</v>
      </c>
      <c r="N239" s="114">
        <f ca="1">SUMIF('Détail fiscalité'!$B$8:$B$37,INT(B239/12),'Détail fiscalité'!$CI$8:$CI$37)/12+SUMIF('Détail fiscalité'!$B$8:$B$37,B239/12,'Détail fiscalité'!$CI$8:$CI$37)-SUMIF('Détail fiscalité'!$B$8:$B$37,B239/12-1,'Détail fiscalité'!$CI$8:$CI$37)</f>
        <v>0</v>
      </c>
      <c r="O239" s="116">
        <f t="shared" ca="1" si="22"/>
        <v>0</v>
      </c>
    </row>
    <row r="240" spans="2:15" x14ac:dyDescent="0.15">
      <c r="B240" s="40">
        <f t="shared" si="21"/>
        <v>233</v>
      </c>
      <c r="C240" s="113">
        <f>IF(B240&lt;=MIN(Simulation!$F$10*12+Simulation!$F$12*OR(Simulation!$F$11="Amortissable différé partiel",Simulation!$F$11="Amortissable différé total"),Simulation!$F$24*12),IF(AND(B240&lt;=Simulation!$F$12,OR(Simulation!$F$11="Amortissable différé partiel",Simulation!$F$11="Amortissable différé total")),C239*(1+(Simulation!$F$11="Amortissable différé total")*Simulation!$F$8/12),C239-D240),0)</f>
        <v>0</v>
      </c>
      <c r="D240" s="114">
        <f>IF(B240&lt;=MIN(Simulation!$F$10*12+Simulation!$F$12*OR(Simulation!$F$11="Amortissable différé partiel",Simulation!$F$11="Amortissable différé total"),Simulation!$F$24*12),G240-E240,0)</f>
        <v>0</v>
      </c>
      <c r="E240" s="114">
        <f>IF(B240&lt;=MIN(Simulation!$F$10*12+Simulation!$F$12*OR(Simulation!$F$11="Amortissable différé partiel",Simulation!$F$11="Amortissable différé total"),Simulation!$F$24*12),IF(AND(B240&lt;=Simulation!$F$12,Simulation!$F$11="Amortissable différé total"),0,C239*Simulation!$F$8/12),0)</f>
        <v>0</v>
      </c>
      <c r="F240" s="114">
        <f>IF(B240&lt;=MIN(Simulation!$F$10*12+Simulation!$F$12*OR(Simulation!$F$11="Amortissable différé partiel",Simulation!$F$11="Amortissable différé total"),Simulation!$F$24*12),Simulation!$E$33*Simulation!$F$9/12,0)</f>
        <v>0</v>
      </c>
      <c r="G240" s="115">
        <f>IF(B240&lt;=MIN(Simulation!$F$10*12+Simulation!$F$12*OR(Simulation!$F$11="Amortissable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partiel",IF(B240&lt;=Simulation!$F$12,Simulation!$E$33*Simulation!$F$8/12,PMT(Simulation!$F$8/12,Simulation!$F$10*12,-Simulation!$E$34)),IF(Simulation!$F$11="Amortissable différé total",IF(B240&lt;=Simulation!$F$12,0,PMT(Simulation!$F$8/12,Simulation!$F$10*12,-Simulation!$E$34)),IF(Simulation!$F$11="In fine",IF(B240=Simulation!$F$10*12,Simulation!$E$34,Simulation!$F$8*Simulation!$E$34/12),0)))),0)</f>
        <v>0</v>
      </c>
      <c r="H240" s="113">
        <f>Simulation!$C$16/12*(1+Simulation!$F$15)^INT((B240-1)/12)*(B240&lt;=Simulation!$F$24*12)</f>
        <v>0</v>
      </c>
      <c r="I240" s="114">
        <f>(Simulation!$F$22-VLOOKUP(Simulation!$C$27,'Comparatif fiscal'!$B$8:$E$17,4,FALSE)-C240)*(B240=Simulation!$F$24*12)</f>
        <v>0</v>
      </c>
      <c r="J240" s="114">
        <f>(Simulation!$C$21+Simulation!$C$22)/12*(1+Simulation!$F$17)^INT((B240-1)/12)*(B240&lt;=Simulation!$F$24*12)</f>
        <v>0</v>
      </c>
      <c r="K240" s="114">
        <f>(H240*Simulation!$C$24+Simulation!$C$23/12*(1+Simulation!$F$15)^INT((B240-1)/12))*(B240&lt;=Simulation!$F$24*12)</f>
        <v>0</v>
      </c>
      <c r="L240" s="114">
        <f>Simulation!$C$19/12*(1+Simulation!$F$18)^INT((B240-1)/12)*(B240&lt;=Simulation!$F$24*12)</f>
        <v>0</v>
      </c>
      <c r="M240" s="114">
        <f>(Simulation!$C$20/12*(1+Simulation!$F$19)^INT((B240-1)/12)+F240)*(B240&lt;=Simulation!$F$24*12)</f>
        <v>0</v>
      </c>
      <c r="N240" s="114">
        <f ca="1">SUMIF('Détail fiscalité'!$B$8:$B$37,INT(B240/12),'Détail fiscalité'!$CI$8:$CI$37)/12+SUMIF('Détail fiscalité'!$B$8:$B$37,B240/12,'Détail fiscalité'!$CI$8:$CI$37)-SUMIF('Détail fiscalité'!$B$8:$B$37,B240/12-1,'Détail fiscalité'!$CI$8:$CI$37)</f>
        <v>0</v>
      </c>
      <c r="O240" s="116">
        <f t="shared" ca="1" si="22"/>
        <v>0</v>
      </c>
    </row>
    <row r="241" spans="2:15" x14ac:dyDescent="0.15">
      <c r="B241" s="40">
        <f t="shared" si="21"/>
        <v>234</v>
      </c>
      <c r="C241" s="113">
        <f>IF(B241&lt;=MIN(Simulation!$F$10*12+Simulation!$F$12*OR(Simulation!$F$11="Amortissable différé partiel",Simulation!$F$11="Amortissable différé total"),Simulation!$F$24*12),IF(AND(B241&lt;=Simulation!$F$12,OR(Simulation!$F$11="Amortissable différé partiel",Simulation!$F$11="Amortissable différé total")),C240*(1+(Simulation!$F$11="Amortissable différé total")*Simulation!$F$8/12),C240-D241),0)</f>
        <v>0</v>
      </c>
      <c r="D241" s="114">
        <f>IF(B241&lt;=MIN(Simulation!$F$10*12+Simulation!$F$12*OR(Simulation!$F$11="Amortissable différé partiel",Simulation!$F$11="Amortissable différé total"),Simulation!$F$24*12),G241-E241,0)</f>
        <v>0</v>
      </c>
      <c r="E241" s="114">
        <f>IF(B241&lt;=MIN(Simulation!$F$10*12+Simulation!$F$12*OR(Simulation!$F$11="Amortissable différé partiel",Simulation!$F$11="Amortissable différé total"),Simulation!$F$24*12),IF(AND(B241&lt;=Simulation!$F$12,Simulation!$F$11="Amortissable différé total"),0,C240*Simulation!$F$8/12),0)</f>
        <v>0</v>
      </c>
      <c r="F241" s="114">
        <f>IF(B241&lt;=MIN(Simulation!$F$10*12+Simulation!$F$12*OR(Simulation!$F$11="Amortissable différé partiel",Simulation!$F$11="Amortissable différé total"),Simulation!$F$24*12),Simulation!$E$33*Simulation!$F$9/12,0)</f>
        <v>0</v>
      </c>
      <c r="G241" s="115">
        <f>IF(B241&lt;=MIN(Simulation!$F$10*12+Simulation!$F$12*OR(Simulation!$F$11="Amortissable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partiel",IF(B241&lt;=Simulation!$F$12,Simulation!$E$33*Simulation!$F$8/12,PMT(Simulation!$F$8/12,Simulation!$F$10*12,-Simulation!$E$34)),IF(Simulation!$F$11="Amortissable différé total",IF(B241&lt;=Simulation!$F$12,0,PMT(Simulation!$F$8/12,Simulation!$F$10*12,-Simulation!$E$34)),IF(Simulation!$F$11="In fine",IF(B241=Simulation!$F$10*12,Simulation!$E$34,Simulation!$F$8*Simulation!$E$34/12),0)))),0)</f>
        <v>0</v>
      </c>
      <c r="H241" s="113">
        <f>Simulation!$C$16/12*(1+Simulation!$F$15)^INT((B241-1)/12)*(B241&lt;=Simulation!$F$24*12)</f>
        <v>0</v>
      </c>
      <c r="I241" s="114">
        <f>(Simulation!$F$22-VLOOKUP(Simulation!$C$27,'Comparatif fiscal'!$B$8:$E$17,4,FALSE)-C241)*(B241=Simulation!$F$24*12)</f>
        <v>0</v>
      </c>
      <c r="J241" s="114">
        <f>(Simulation!$C$21+Simulation!$C$22)/12*(1+Simulation!$F$17)^INT((B241-1)/12)*(B241&lt;=Simulation!$F$24*12)</f>
        <v>0</v>
      </c>
      <c r="K241" s="114">
        <f>(H241*Simulation!$C$24+Simulation!$C$23/12*(1+Simulation!$F$15)^INT((B241-1)/12))*(B241&lt;=Simulation!$F$24*12)</f>
        <v>0</v>
      </c>
      <c r="L241" s="114">
        <f>Simulation!$C$19/12*(1+Simulation!$F$18)^INT((B241-1)/12)*(B241&lt;=Simulation!$F$24*12)</f>
        <v>0</v>
      </c>
      <c r="M241" s="114">
        <f>(Simulation!$C$20/12*(1+Simulation!$F$19)^INT((B241-1)/12)+F241)*(B241&lt;=Simulation!$F$24*12)</f>
        <v>0</v>
      </c>
      <c r="N241" s="114">
        <f ca="1">SUMIF('Détail fiscalité'!$B$8:$B$37,INT(B241/12),'Détail fiscalité'!$CI$8:$CI$37)/12+SUMIF('Détail fiscalité'!$B$8:$B$37,B241/12,'Détail fiscalité'!$CI$8:$CI$37)-SUMIF('Détail fiscalité'!$B$8:$B$37,B241/12-1,'Détail fiscalité'!$CI$8:$CI$37)</f>
        <v>0</v>
      </c>
      <c r="O241" s="116">
        <f t="shared" ca="1" si="22"/>
        <v>0</v>
      </c>
    </row>
    <row r="242" spans="2:15" x14ac:dyDescent="0.15">
      <c r="B242" s="40">
        <f t="shared" si="21"/>
        <v>235</v>
      </c>
      <c r="C242" s="113">
        <f>IF(B242&lt;=MIN(Simulation!$F$10*12+Simulation!$F$12*OR(Simulation!$F$11="Amortissable différé partiel",Simulation!$F$11="Amortissable différé total"),Simulation!$F$24*12),IF(AND(B242&lt;=Simulation!$F$12,OR(Simulation!$F$11="Amortissable différé partiel",Simulation!$F$11="Amortissable différé total")),C241*(1+(Simulation!$F$11="Amortissable différé total")*Simulation!$F$8/12),C241-D242),0)</f>
        <v>0</v>
      </c>
      <c r="D242" s="114">
        <f>IF(B242&lt;=MIN(Simulation!$F$10*12+Simulation!$F$12*OR(Simulation!$F$11="Amortissable différé partiel",Simulation!$F$11="Amortissable différé total"),Simulation!$F$24*12),G242-E242,0)</f>
        <v>0</v>
      </c>
      <c r="E242" s="114">
        <f>IF(B242&lt;=MIN(Simulation!$F$10*12+Simulation!$F$12*OR(Simulation!$F$11="Amortissable différé partiel",Simulation!$F$11="Amortissable différé total"),Simulation!$F$24*12),IF(AND(B242&lt;=Simulation!$F$12,Simulation!$F$11="Amortissable différé total"),0,C241*Simulation!$F$8/12),0)</f>
        <v>0</v>
      </c>
      <c r="F242" s="114">
        <f>IF(B242&lt;=MIN(Simulation!$F$10*12+Simulation!$F$12*OR(Simulation!$F$11="Amortissable différé partiel",Simulation!$F$11="Amortissable différé total"),Simulation!$F$24*12),Simulation!$E$33*Simulation!$F$9/12,0)</f>
        <v>0</v>
      </c>
      <c r="G242" s="115">
        <f>IF(B242&lt;=MIN(Simulation!$F$10*12+Simulation!$F$12*OR(Simulation!$F$11="Amortissable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partiel",IF(B242&lt;=Simulation!$F$12,Simulation!$E$33*Simulation!$F$8/12,PMT(Simulation!$F$8/12,Simulation!$F$10*12,-Simulation!$E$34)),IF(Simulation!$F$11="Amortissable différé total",IF(B242&lt;=Simulation!$F$12,0,PMT(Simulation!$F$8/12,Simulation!$F$10*12,-Simulation!$E$34)),IF(Simulation!$F$11="In fine",IF(B242=Simulation!$F$10*12,Simulation!$E$34,Simulation!$F$8*Simulation!$E$34/12),0)))),0)</f>
        <v>0</v>
      </c>
      <c r="H242" s="113">
        <f>Simulation!$C$16/12*(1+Simulation!$F$15)^INT((B242-1)/12)*(B242&lt;=Simulation!$F$24*12)</f>
        <v>0</v>
      </c>
      <c r="I242" s="114">
        <f>(Simulation!$F$22-VLOOKUP(Simulation!$C$27,'Comparatif fiscal'!$B$8:$E$17,4,FALSE)-C242)*(B242=Simulation!$F$24*12)</f>
        <v>0</v>
      </c>
      <c r="J242" s="114">
        <f>(Simulation!$C$21+Simulation!$C$22)/12*(1+Simulation!$F$17)^INT((B242-1)/12)*(B242&lt;=Simulation!$F$24*12)</f>
        <v>0</v>
      </c>
      <c r="K242" s="114">
        <f>(H242*Simulation!$C$24+Simulation!$C$23/12*(1+Simulation!$F$15)^INT((B242-1)/12))*(B242&lt;=Simulation!$F$24*12)</f>
        <v>0</v>
      </c>
      <c r="L242" s="114">
        <f>Simulation!$C$19/12*(1+Simulation!$F$18)^INT((B242-1)/12)*(B242&lt;=Simulation!$F$24*12)</f>
        <v>0</v>
      </c>
      <c r="M242" s="114">
        <f>(Simulation!$C$20/12*(1+Simulation!$F$19)^INT((B242-1)/12)+F242)*(B242&lt;=Simulation!$F$24*12)</f>
        <v>0</v>
      </c>
      <c r="N242" s="114">
        <f ca="1">SUMIF('Détail fiscalité'!$B$8:$B$37,INT(B242/12),'Détail fiscalité'!$CI$8:$CI$37)/12+SUMIF('Détail fiscalité'!$B$8:$B$37,B242/12,'Détail fiscalité'!$CI$8:$CI$37)-SUMIF('Détail fiscalité'!$B$8:$B$37,B242/12-1,'Détail fiscalité'!$CI$8:$CI$37)</f>
        <v>0</v>
      </c>
      <c r="O242" s="116">
        <f t="shared" ca="1" si="22"/>
        <v>0</v>
      </c>
    </row>
    <row r="243" spans="2:15" x14ac:dyDescent="0.15">
      <c r="B243" s="40">
        <f t="shared" si="21"/>
        <v>236</v>
      </c>
      <c r="C243" s="113">
        <f>IF(B243&lt;=MIN(Simulation!$F$10*12+Simulation!$F$12*OR(Simulation!$F$11="Amortissable différé partiel",Simulation!$F$11="Amortissable différé total"),Simulation!$F$24*12),IF(AND(B243&lt;=Simulation!$F$12,OR(Simulation!$F$11="Amortissable différé partiel",Simulation!$F$11="Amortissable différé total")),C242*(1+(Simulation!$F$11="Amortissable différé total")*Simulation!$F$8/12),C242-D243),0)</f>
        <v>0</v>
      </c>
      <c r="D243" s="114">
        <f>IF(B243&lt;=MIN(Simulation!$F$10*12+Simulation!$F$12*OR(Simulation!$F$11="Amortissable différé partiel",Simulation!$F$11="Amortissable différé total"),Simulation!$F$24*12),G243-E243,0)</f>
        <v>0</v>
      </c>
      <c r="E243" s="114">
        <f>IF(B243&lt;=MIN(Simulation!$F$10*12+Simulation!$F$12*OR(Simulation!$F$11="Amortissable différé partiel",Simulation!$F$11="Amortissable différé total"),Simulation!$F$24*12),IF(AND(B243&lt;=Simulation!$F$12,Simulation!$F$11="Amortissable différé total"),0,C242*Simulation!$F$8/12),0)</f>
        <v>0</v>
      </c>
      <c r="F243" s="114">
        <f>IF(B243&lt;=MIN(Simulation!$F$10*12+Simulation!$F$12*OR(Simulation!$F$11="Amortissable différé partiel",Simulation!$F$11="Amortissable différé total"),Simulation!$F$24*12),Simulation!$E$33*Simulation!$F$9/12,0)</f>
        <v>0</v>
      </c>
      <c r="G243" s="115">
        <f>IF(B243&lt;=MIN(Simulation!$F$10*12+Simulation!$F$12*OR(Simulation!$F$11="Amortissable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partiel",IF(B243&lt;=Simulation!$F$12,Simulation!$E$33*Simulation!$F$8/12,PMT(Simulation!$F$8/12,Simulation!$F$10*12,-Simulation!$E$34)),IF(Simulation!$F$11="Amortissable différé total",IF(B243&lt;=Simulation!$F$12,0,PMT(Simulation!$F$8/12,Simulation!$F$10*12,-Simulation!$E$34)),IF(Simulation!$F$11="In fine",IF(B243=Simulation!$F$10*12,Simulation!$E$34,Simulation!$F$8*Simulation!$E$34/12),0)))),0)</f>
        <v>0</v>
      </c>
      <c r="H243" s="113">
        <f>Simulation!$C$16/12*(1+Simulation!$F$15)^INT((B243-1)/12)*(B243&lt;=Simulation!$F$24*12)</f>
        <v>0</v>
      </c>
      <c r="I243" s="114">
        <f>(Simulation!$F$22-VLOOKUP(Simulation!$C$27,'Comparatif fiscal'!$B$8:$E$17,4,FALSE)-C243)*(B243=Simulation!$F$24*12)</f>
        <v>0</v>
      </c>
      <c r="J243" s="114">
        <f>(Simulation!$C$21+Simulation!$C$22)/12*(1+Simulation!$F$17)^INT((B243-1)/12)*(B243&lt;=Simulation!$F$24*12)</f>
        <v>0</v>
      </c>
      <c r="K243" s="114">
        <f>(H243*Simulation!$C$24+Simulation!$C$23/12*(1+Simulation!$F$15)^INT((B243-1)/12))*(B243&lt;=Simulation!$F$24*12)</f>
        <v>0</v>
      </c>
      <c r="L243" s="114">
        <f>Simulation!$C$19/12*(1+Simulation!$F$18)^INT((B243-1)/12)*(B243&lt;=Simulation!$F$24*12)</f>
        <v>0</v>
      </c>
      <c r="M243" s="114">
        <f>(Simulation!$C$20/12*(1+Simulation!$F$19)^INT((B243-1)/12)+F243)*(B243&lt;=Simulation!$F$24*12)</f>
        <v>0</v>
      </c>
      <c r="N243" s="114">
        <f ca="1">SUMIF('Détail fiscalité'!$B$8:$B$37,INT(B243/12),'Détail fiscalité'!$CI$8:$CI$37)/12+SUMIF('Détail fiscalité'!$B$8:$B$37,B243/12,'Détail fiscalité'!$CI$8:$CI$37)-SUMIF('Détail fiscalité'!$B$8:$B$37,B243/12-1,'Détail fiscalité'!$CI$8:$CI$37)</f>
        <v>0</v>
      </c>
      <c r="O243" s="116">
        <f t="shared" ca="1" si="22"/>
        <v>0</v>
      </c>
    </row>
    <row r="244" spans="2:15" x14ac:dyDescent="0.15">
      <c r="B244" s="40">
        <f t="shared" si="21"/>
        <v>237</v>
      </c>
      <c r="C244" s="113">
        <f>IF(B244&lt;=MIN(Simulation!$F$10*12+Simulation!$F$12*OR(Simulation!$F$11="Amortissable différé partiel",Simulation!$F$11="Amortissable différé total"),Simulation!$F$24*12),IF(AND(B244&lt;=Simulation!$F$12,OR(Simulation!$F$11="Amortissable différé partiel",Simulation!$F$11="Amortissable différé total")),C243*(1+(Simulation!$F$11="Amortissable différé total")*Simulation!$F$8/12),C243-D244),0)</f>
        <v>0</v>
      </c>
      <c r="D244" s="114">
        <f>IF(B244&lt;=MIN(Simulation!$F$10*12+Simulation!$F$12*OR(Simulation!$F$11="Amortissable différé partiel",Simulation!$F$11="Amortissable différé total"),Simulation!$F$24*12),G244-E244,0)</f>
        <v>0</v>
      </c>
      <c r="E244" s="114">
        <f>IF(B244&lt;=MIN(Simulation!$F$10*12+Simulation!$F$12*OR(Simulation!$F$11="Amortissable différé partiel",Simulation!$F$11="Amortissable différé total"),Simulation!$F$24*12),IF(AND(B244&lt;=Simulation!$F$12,Simulation!$F$11="Amortissable différé total"),0,C243*Simulation!$F$8/12),0)</f>
        <v>0</v>
      </c>
      <c r="F244" s="114">
        <f>IF(B244&lt;=MIN(Simulation!$F$10*12+Simulation!$F$12*OR(Simulation!$F$11="Amortissable différé partiel",Simulation!$F$11="Amortissable différé total"),Simulation!$F$24*12),Simulation!$E$33*Simulation!$F$9/12,0)</f>
        <v>0</v>
      </c>
      <c r="G244" s="115">
        <f>IF(B244&lt;=MIN(Simulation!$F$10*12+Simulation!$F$12*OR(Simulation!$F$11="Amortissable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partiel",IF(B244&lt;=Simulation!$F$12,Simulation!$E$33*Simulation!$F$8/12,PMT(Simulation!$F$8/12,Simulation!$F$10*12,-Simulation!$E$34)),IF(Simulation!$F$11="Amortissable différé total",IF(B244&lt;=Simulation!$F$12,0,PMT(Simulation!$F$8/12,Simulation!$F$10*12,-Simulation!$E$34)),IF(Simulation!$F$11="In fine",IF(B244=Simulation!$F$10*12,Simulation!$E$34,Simulation!$F$8*Simulation!$E$34/12),0)))),0)</f>
        <v>0</v>
      </c>
      <c r="H244" s="113">
        <f>Simulation!$C$16/12*(1+Simulation!$F$15)^INT((B244-1)/12)*(B244&lt;=Simulation!$F$24*12)</f>
        <v>0</v>
      </c>
      <c r="I244" s="114">
        <f>(Simulation!$F$22-VLOOKUP(Simulation!$C$27,'Comparatif fiscal'!$B$8:$E$17,4,FALSE)-C244)*(B244=Simulation!$F$24*12)</f>
        <v>0</v>
      </c>
      <c r="J244" s="114">
        <f>(Simulation!$C$21+Simulation!$C$22)/12*(1+Simulation!$F$17)^INT((B244-1)/12)*(B244&lt;=Simulation!$F$24*12)</f>
        <v>0</v>
      </c>
      <c r="K244" s="114">
        <f>(H244*Simulation!$C$24+Simulation!$C$23/12*(1+Simulation!$F$15)^INT((B244-1)/12))*(B244&lt;=Simulation!$F$24*12)</f>
        <v>0</v>
      </c>
      <c r="L244" s="114">
        <f>Simulation!$C$19/12*(1+Simulation!$F$18)^INT((B244-1)/12)*(B244&lt;=Simulation!$F$24*12)</f>
        <v>0</v>
      </c>
      <c r="M244" s="114">
        <f>(Simulation!$C$20/12*(1+Simulation!$F$19)^INT((B244-1)/12)+F244)*(B244&lt;=Simulation!$F$24*12)</f>
        <v>0</v>
      </c>
      <c r="N244" s="114">
        <f ca="1">SUMIF('Détail fiscalité'!$B$8:$B$37,INT(B244/12),'Détail fiscalité'!$CI$8:$CI$37)/12+SUMIF('Détail fiscalité'!$B$8:$B$37,B244/12,'Détail fiscalité'!$CI$8:$CI$37)-SUMIF('Détail fiscalité'!$B$8:$B$37,B244/12-1,'Détail fiscalité'!$CI$8:$CI$37)</f>
        <v>0</v>
      </c>
      <c r="O244" s="116">
        <f t="shared" ca="1" si="22"/>
        <v>0</v>
      </c>
    </row>
    <row r="245" spans="2:15" x14ac:dyDescent="0.15">
      <c r="B245" s="40">
        <f t="shared" si="21"/>
        <v>238</v>
      </c>
      <c r="C245" s="113">
        <f>IF(B245&lt;=MIN(Simulation!$F$10*12+Simulation!$F$12*OR(Simulation!$F$11="Amortissable différé partiel",Simulation!$F$11="Amortissable différé total"),Simulation!$F$24*12),IF(AND(B245&lt;=Simulation!$F$12,OR(Simulation!$F$11="Amortissable différé partiel",Simulation!$F$11="Amortissable différé total")),C244*(1+(Simulation!$F$11="Amortissable différé total")*Simulation!$F$8/12),C244-D245),0)</f>
        <v>0</v>
      </c>
      <c r="D245" s="114">
        <f>IF(B245&lt;=MIN(Simulation!$F$10*12+Simulation!$F$12*OR(Simulation!$F$11="Amortissable différé partiel",Simulation!$F$11="Amortissable différé total"),Simulation!$F$24*12),G245-E245,0)</f>
        <v>0</v>
      </c>
      <c r="E245" s="114">
        <f>IF(B245&lt;=MIN(Simulation!$F$10*12+Simulation!$F$12*OR(Simulation!$F$11="Amortissable différé partiel",Simulation!$F$11="Amortissable différé total"),Simulation!$F$24*12),IF(AND(B245&lt;=Simulation!$F$12,Simulation!$F$11="Amortissable différé total"),0,C244*Simulation!$F$8/12),0)</f>
        <v>0</v>
      </c>
      <c r="F245" s="114">
        <f>IF(B245&lt;=MIN(Simulation!$F$10*12+Simulation!$F$12*OR(Simulation!$F$11="Amortissable différé partiel",Simulation!$F$11="Amortissable différé total"),Simulation!$F$24*12),Simulation!$E$33*Simulation!$F$9/12,0)</f>
        <v>0</v>
      </c>
      <c r="G245" s="115">
        <f>IF(B245&lt;=MIN(Simulation!$F$10*12+Simulation!$F$12*OR(Simulation!$F$11="Amortissable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partiel",IF(B245&lt;=Simulation!$F$12,Simulation!$E$33*Simulation!$F$8/12,PMT(Simulation!$F$8/12,Simulation!$F$10*12,-Simulation!$E$34)),IF(Simulation!$F$11="Amortissable différé total",IF(B245&lt;=Simulation!$F$12,0,PMT(Simulation!$F$8/12,Simulation!$F$10*12,-Simulation!$E$34)),IF(Simulation!$F$11="In fine",IF(B245=Simulation!$F$10*12,Simulation!$E$34,Simulation!$F$8*Simulation!$E$34/12),0)))),0)</f>
        <v>0</v>
      </c>
      <c r="H245" s="113">
        <f>Simulation!$C$16/12*(1+Simulation!$F$15)^INT((B245-1)/12)*(B245&lt;=Simulation!$F$24*12)</f>
        <v>0</v>
      </c>
      <c r="I245" s="114">
        <f>(Simulation!$F$22-VLOOKUP(Simulation!$C$27,'Comparatif fiscal'!$B$8:$E$17,4,FALSE)-C245)*(B245=Simulation!$F$24*12)</f>
        <v>0</v>
      </c>
      <c r="J245" s="114">
        <f>(Simulation!$C$21+Simulation!$C$22)/12*(1+Simulation!$F$17)^INT((B245-1)/12)*(B245&lt;=Simulation!$F$24*12)</f>
        <v>0</v>
      </c>
      <c r="K245" s="114">
        <f>(H245*Simulation!$C$24+Simulation!$C$23/12*(1+Simulation!$F$15)^INT((B245-1)/12))*(B245&lt;=Simulation!$F$24*12)</f>
        <v>0</v>
      </c>
      <c r="L245" s="114">
        <f>Simulation!$C$19/12*(1+Simulation!$F$18)^INT((B245-1)/12)*(B245&lt;=Simulation!$F$24*12)</f>
        <v>0</v>
      </c>
      <c r="M245" s="114">
        <f>(Simulation!$C$20/12*(1+Simulation!$F$19)^INT((B245-1)/12)+F245)*(B245&lt;=Simulation!$F$24*12)</f>
        <v>0</v>
      </c>
      <c r="N245" s="114">
        <f ca="1">SUMIF('Détail fiscalité'!$B$8:$B$37,INT(B245/12),'Détail fiscalité'!$CI$8:$CI$37)/12+SUMIF('Détail fiscalité'!$B$8:$B$37,B245/12,'Détail fiscalité'!$CI$8:$CI$37)-SUMIF('Détail fiscalité'!$B$8:$B$37,B245/12-1,'Détail fiscalité'!$CI$8:$CI$37)</f>
        <v>0</v>
      </c>
      <c r="O245" s="116">
        <f t="shared" ca="1" si="22"/>
        <v>0</v>
      </c>
    </row>
    <row r="246" spans="2:15" x14ac:dyDescent="0.15">
      <c r="B246" s="40">
        <f t="shared" si="21"/>
        <v>239</v>
      </c>
      <c r="C246" s="113">
        <f>IF(B246&lt;=MIN(Simulation!$F$10*12+Simulation!$F$12*OR(Simulation!$F$11="Amortissable différé partiel",Simulation!$F$11="Amortissable différé total"),Simulation!$F$24*12),IF(AND(B246&lt;=Simulation!$F$12,OR(Simulation!$F$11="Amortissable différé partiel",Simulation!$F$11="Amortissable différé total")),C245*(1+(Simulation!$F$11="Amortissable différé total")*Simulation!$F$8/12),C245-D246),0)</f>
        <v>0</v>
      </c>
      <c r="D246" s="114">
        <f>IF(B246&lt;=MIN(Simulation!$F$10*12+Simulation!$F$12*OR(Simulation!$F$11="Amortissable différé partiel",Simulation!$F$11="Amortissable différé total"),Simulation!$F$24*12),G246-E246,0)</f>
        <v>0</v>
      </c>
      <c r="E246" s="114">
        <f>IF(B246&lt;=MIN(Simulation!$F$10*12+Simulation!$F$12*OR(Simulation!$F$11="Amortissable différé partiel",Simulation!$F$11="Amortissable différé total"),Simulation!$F$24*12),IF(AND(B246&lt;=Simulation!$F$12,Simulation!$F$11="Amortissable différé total"),0,C245*Simulation!$F$8/12),0)</f>
        <v>0</v>
      </c>
      <c r="F246" s="114">
        <f>IF(B246&lt;=MIN(Simulation!$F$10*12+Simulation!$F$12*OR(Simulation!$F$11="Amortissable différé partiel",Simulation!$F$11="Amortissable différé total"),Simulation!$F$24*12),Simulation!$E$33*Simulation!$F$9/12,0)</f>
        <v>0</v>
      </c>
      <c r="G246" s="115">
        <f>IF(B246&lt;=MIN(Simulation!$F$10*12+Simulation!$F$12*OR(Simulation!$F$11="Amortissable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partiel",IF(B246&lt;=Simulation!$F$12,Simulation!$E$33*Simulation!$F$8/12,PMT(Simulation!$F$8/12,Simulation!$F$10*12,-Simulation!$E$34)),IF(Simulation!$F$11="Amortissable différé total",IF(B246&lt;=Simulation!$F$12,0,PMT(Simulation!$F$8/12,Simulation!$F$10*12,-Simulation!$E$34)),IF(Simulation!$F$11="In fine",IF(B246=Simulation!$F$10*12,Simulation!$E$34,Simulation!$F$8*Simulation!$E$34/12),0)))),0)</f>
        <v>0</v>
      </c>
      <c r="H246" s="113">
        <f>Simulation!$C$16/12*(1+Simulation!$F$15)^INT((B246-1)/12)*(B246&lt;=Simulation!$F$24*12)</f>
        <v>0</v>
      </c>
      <c r="I246" s="114">
        <f>(Simulation!$F$22-VLOOKUP(Simulation!$C$27,'Comparatif fiscal'!$B$8:$E$17,4,FALSE)-C246)*(B246=Simulation!$F$24*12)</f>
        <v>0</v>
      </c>
      <c r="J246" s="114">
        <f>(Simulation!$C$21+Simulation!$C$22)/12*(1+Simulation!$F$17)^INT((B246-1)/12)*(B246&lt;=Simulation!$F$24*12)</f>
        <v>0</v>
      </c>
      <c r="K246" s="114">
        <f>(H246*Simulation!$C$24+Simulation!$C$23/12*(1+Simulation!$F$15)^INT((B246-1)/12))*(B246&lt;=Simulation!$F$24*12)</f>
        <v>0</v>
      </c>
      <c r="L246" s="114">
        <f>Simulation!$C$19/12*(1+Simulation!$F$18)^INT((B246-1)/12)*(B246&lt;=Simulation!$F$24*12)</f>
        <v>0</v>
      </c>
      <c r="M246" s="114">
        <f>(Simulation!$C$20/12*(1+Simulation!$F$19)^INT((B246-1)/12)+F246)*(B246&lt;=Simulation!$F$24*12)</f>
        <v>0</v>
      </c>
      <c r="N246" s="114">
        <f ca="1">SUMIF('Détail fiscalité'!$B$8:$B$37,INT(B246/12),'Détail fiscalité'!$CI$8:$CI$37)/12+SUMIF('Détail fiscalité'!$B$8:$B$37,B246/12,'Détail fiscalité'!$CI$8:$CI$37)-SUMIF('Détail fiscalité'!$B$8:$B$37,B246/12-1,'Détail fiscalité'!$CI$8:$CI$37)</f>
        <v>0</v>
      </c>
      <c r="O246" s="116">
        <f t="shared" ca="1" si="22"/>
        <v>0</v>
      </c>
    </row>
    <row r="247" spans="2:15" x14ac:dyDescent="0.15">
      <c r="B247" s="40">
        <f t="shared" si="21"/>
        <v>240</v>
      </c>
      <c r="C247" s="113">
        <f>IF(B247&lt;=MIN(Simulation!$F$10*12+Simulation!$F$12*OR(Simulation!$F$11="Amortissable différé partiel",Simulation!$F$11="Amortissable différé total"),Simulation!$F$24*12),IF(AND(B247&lt;=Simulation!$F$12,OR(Simulation!$F$11="Amortissable différé partiel",Simulation!$F$11="Amortissable différé total")),C246*(1+(Simulation!$F$11="Amortissable différé total")*Simulation!$F$8/12),C246-D247),0)</f>
        <v>0</v>
      </c>
      <c r="D247" s="114">
        <f>IF(B247&lt;=MIN(Simulation!$F$10*12+Simulation!$F$12*OR(Simulation!$F$11="Amortissable différé partiel",Simulation!$F$11="Amortissable différé total"),Simulation!$F$24*12),G247-E247,0)</f>
        <v>0</v>
      </c>
      <c r="E247" s="114">
        <f>IF(B247&lt;=MIN(Simulation!$F$10*12+Simulation!$F$12*OR(Simulation!$F$11="Amortissable différé partiel",Simulation!$F$11="Amortissable différé total"),Simulation!$F$24*12),IF(AND(B247&lt;=Simulation!$F$12,Simulation!$F$11="Amortissable différé total"),0,C246*Simulation!$F$8/12),0)</f>
        <v>0</v>
      </c>
      <c r="F247" s="114">
        <f>IF(B247&lt;=MIN(Simulation!$F$10*12+Simulation!$F$12*OR(Simulation!$F$11="Amortissable différé partiel",Simulation!$F$11="Amortissable différé total"),Simulation!$F$24*12),Simulation!$E$33*Simulation!$F$9/12,0)</f>
        <v>0</v>
      </c>
      <c r="G247" s="115">
        <f>IF(B247&lt;=MIN(Simulation!$F$10*12+Simulation!$F$12*OR(Simulation!$F$11="Amortissable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partiel",IF(B247&lt;=Simulation!$F$12,Simulation!$E$33*Simulation!$F$8/12,PMT(Simulation!$F$8/12,Simulation!$F$10*12,-Simulation!$E$34)),IF(Simulation!$F$11="Amortissable différé total",IF(B247&lt;=Simulation!$F$12,0,PMT(Simulation!$F$8/12,Simulation!$F$10*12,-Simulation!$E$34)),IF(Simulation!$F$11="In fine",IF(B247=Simulation!$F$10*12,Simulation!$E$34,Simulation!$F$8*Simulation!$E$34/12),0)))),0)</f>
        <v>0</v>
      </c>
      <c r="H247" s="113">
        <f>Simulation!$C$16/12*(1+Simulation!$F$15)^INT((B247-1)/12)*(B247&lt;=Simulation!$F$24*12)</f>
        <v>0</v>
      </c>
      <c r="I247" s="114">
        <f>(Simulation!$F$22-VLOOKUP(Simulation!$C$27,'Comparatif fiscal'!$B$8:$E$17,4,FALSE)-C247)*(B247=Simulation!$F$24*12)</f>
        <v>0</v>
      </c>
      <c r="J247" s="114">
        <f>(Simulation!$C$21+Simulation!$C$22)/12*(1+Simulation!$F$17)^INT((B247-1)/12)*(B247&lt;=Simulation!$F$24*12)</f>
        <v>0</v>
      </c>
      <c r="K247" s="114">
        <f>(H247*Simulation!$C$24+Simulation!$C$23/12*(1+Simulation!$F$15)^INT((B247-1)/12))*(B247&lt;=Simulation!$F$24*12)</f>
        <v>0</v>
      </c>
      <c r="L247" s="114">
        <f>Simulation!$C$19/12*(1+Simulation!$F$18)^INT((B247-1)/12)*(B247&lt;=Simulation!$F$24*12)</f>
        <v>0</v>
      </c>
      <c r="M247" s="114">
        <f>(Simulation!$C$20/12*(1+Simulation!$F$19)^INT((B247-1)/12)+F247)*(B247&lt;=Simulation!$F$24*12)</f>
        <v>0</v>
      </c>
      <c r="N247" s="114">
        <f ca="1">SUMIF('Détail fiscalité'!$B$8:$B$37,INT(B247/12),'Détail fiscalité'!$CI$8:$CI$37)/12+SUMIF('Détail fiscalité'!$B$8:$B$37,B247/12,'Détail fiscalité'!$CI$8:$CI$37)-SUMIF('Détail fiscalité'!$B$8:$B$37,B247/12-1,'Détail fiscalité'!$CI$8:$CI$37)</f>
        <v>0</v>
      </c>
      <c r="O247" s="116">
        <f t="shared" ca="1" si="22"/>
        <v>0</v>
      </c>
    </row>
    <row r="248" spans="2:15" x14ac:dyDescent="0.15">
      <c r="B248" s="40">
        <f t="shared" si="21"/>
        <v>241</v>
      </c>
      <c r="C248" s="113">
        <f>IF(B248&lt;=MIN(Simulation!$F$10*12+Simulation!$F$12*OR(Simulation!$F$11="Amortissable différé partiel",Simulation!$F$11="Amortissable différé total"),Simulation!$F$24*12),IF(AND(B248&lt;=Simulation!$F$12,OR(Simulation!$F$11="Amortissable différé partiel",Simulation!$F$11="Amortissable différé total")),C247*(1+(Simulation!$F$11="Amortissable différé total")*Simulation!$F$8/12),C247-D248),0)</f>
        <v>0</v>
      </c>
      <c r="D248" s="114">
        <f>IF(B248&lt;=MIN(Simulation!$F$10*12+Simulation!$F$12*OR(Simulation!$F$11="Amortissable différé partiel",Simulation!$F$11="Amortissable différé total"),Simulation!$F$24*12),G248-E248,0)</f>
        <v>0</v>
      </c>
      <c r="E248" s="114">
        <f>IF(B248&lt;=MIN(Simulation!$F$10*12+Simulation!$F$12*OR(Simulation!$F$11="Amortissable différé partiel",Simulation!$F$11="Amortissable différé total"),Simulation!$F$24*12),IF(AND(B248&lt;=Simulation!$F$12,Simulation!$F$11="Amortissable différé total"),0,C247*Simulation!$F$8/12),0)</f>
        <v>0</v>
      </c>
      <c r="F248" s="114">
        <f>IF(B248&lt;=MIN(Simulation!$F$10*12+Simulation!$F$12*OR(Simulation!$F$11="Amortissable différé partiel",Simulation!$F$11="Amortissable différé total"),Simulation!$F$24*12),Simulation!$E$33*Simulation!$F$9/12,0)</f>
        <v>0</v>
      </c>
      <c r="G248" s="115">
        <f>IF(B248&lt;=MIN(Simulation!$F$10*12+Simulation!$F$12*OR(Simulation!$F$11="Amortissable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partiel",IF(B248&lt;=Simulation!$F$12,Simulation!$E$33*Simulation!$F$8/12,PMT(Simulation!$F$8/12,Simulation!$F$10*12,-Simulation!$E$34)),IF(Simulation!$F$11="Amortissable différé total",IF(B248&lt;=Simulation!$F$12,0,PMT(Simulation!$F$8/12,Simulation!$F$10*12,-Simulation!$E$34)),IF(Simulation!$F$11="In fine",IF(B248=Simulation!$F$10*12,Simulation!$E$34,Simulation!$F$8*Simulation!$E$34/12),0)))),0)</f>
        <v>0</v>
      </c>
      <c r="H248" s="113">
        <f>Simulation!$C$16/12*(1+Simulation!$F$15)^INT((B248-1)/12)*(B248&lt;=Simulation!$F$24*12)</f>
        <v>0</v>
      </c>
      <c r="I248" s="114">
        <f>(Simulation!$F$22-VLOOKUP(Simulation!$C$27,'Comparatif fiscal'!$B$8:$E$17,4,FALSE)-C248)*(B248=Simulation!$F$24*12)</f>
        <v>0</v>
      </c>
      <c r="J248" s="114">
        <f>(Simulation!$C$21+Simulation!$C$22)/12*(1+Simulation!$F$17)^INT((B248-1)/12)*(B248&lt;=Simulation!$F$24*12)</f>
        <v>0</v>
      </c>
      <c r="K248" s="114">
        <f>(H248*Simulation!$C$24+Simulation!$C$23/12*(1+Simulation!$F$15)^INT((B248-1)/12))*(B248&lt;=Simulation!$F$24*12)</f>
        <v>0</v>
      </c>
      <c r="L248" s="114">
        <f>Simulation!$C$19/12*(1+Simulation!$F$18)^INT((B248-1)/12)*(B248&lt;=Simulation!$F$24*12)</f>
        <v>0</v>
      </c>
      <c r="M248" s="114">
        <f>(Simulation!$C$20/12*(1+Simulation!$F$19)^INT((B248-1)/12)+F248)*(B248&lt;=Simulation!$F$24*12)</f>
        <v>0</v>
      </c>
      <c r="N248" s="114">
        <f ca="1">SUMIF('Détail fiscalité'!$B$8:$B$37,INT(B248/12),'Détail fiscalité'!$CI$8:$CI$37)/12+SUMIF('Détail fiscalité'!$B$8:$B$37,B248/12,'Détail fiscalité'!$CI$8:$CI$37)-SUMIF('Détail fiscalité'!$B$8:$B$37,B248/12-1,'Détail fiscalité'!$CI$8:$CI$37)</f>
        <v>0</v>
      </c>
      <c r="O248" s="116">
        <f t="shared" ca="1" si="22"/>
        <v>0</v>
      </c>
    </row>
    <row r="249" spans="2:15" x14ac:dyDescent="0.15">
      <c r="B249" s="40">
        <f t="shared" si="21"/>
        <v>242</v>
      </c>
      <c r="C249" s="113">
        <f>IF(B249&lt;=MIN(Simulation!$F$10*12+Simulation!$F$12*OR(Simulation!$F$11="Amortissable différé partiel",Simulation!$F$11="Amortissable différé total"),Simulation!$F$24*12),IF(AND(B249&lt;=Simulation!$F$12,OR(Simulation!$F$11="Amortissable différé partiel",Simulation!$F$11="Amortissable différé total")),C248*(1+(Simulation!$F$11="Amortissable différé total")*Simulation!$F$8/12),C248-D249),0)</f>
        <v>0</v>
      </c>
      <c r="D249" s="114">
        <f>IF(B249&lt;=MIN(Simulation!$F$10*12+Simulation!$F$12*OR(Simulation!$F$11="Amortissable différé partiel",Simulation!$F$11="Amortissable différé total"),Simulation!$F$24*12),G249-E249,0)</f>
        <v>0</v>
      </c>
      <c r="E249" s="114">
        <f>IF(B249&lt;=MIN(Simulation!$F$10*12+Simulation!$F$12*OR(Simulation!$F$11="Amortissable différé partiel",Simulation!$F$11="Amortissable différé total"),Simulation!$F$24*12),IF(AND(B249&lt;=Simulation!$F$12,Simulation!$F$11="Amortissable différé total"),0,C248*Simulation!$F$8/12),0)</f>
        <v>0</v>
      </c>
      <c r="F249" s="114">
        <f>IF(B249&lt;=MIN(Simulation!$F$10*12+Simulation!$F$12*OR(Simulation!$F$11="Amortissable différé partiel",Simulation!$F$11="Amortissable différé total"),Simulation!$F$24*12),Simulation!$E$33*Simulation!$F$9/12,0)</f>
        <v>0</v>
      </c>
      <c r="G249" s="115">
        <f>IF(B249&lt;=MIN(Simulation!$F$10*12+Simulation!$F$12*OR(Simulation!$F$11="Amortissable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partiel",IF(B249&lt;=Simulation!$F$12,Simulation!$E$33*Simulation!$F$8/12,PMT(Simulation!$F$8/12,Simulation!$F$10*12,-Simulation!$E$34)),IF(Simulation!$F$11="Amortissable différé total",IF(B249&lt;=Simulation!$F$12,0,PMT(Simulation!$F$8/12,Simulation!$F$10*12,-Simulation!$E$34)),IF(Simulation!$F$11="In fine",IF(B249=Simulation!$F$10*12,Simulation!$E$34,Simulation!$F$8*Simulation!$E$34/12),0)))),0)</f>
        <v>0</v>
      </c>
      <c r="H249" s="113">
        <f>Simulation!$C$16/12*(1+Simulation!$F$15)^INT((B249-1)/12)*(B249&lt;=Simulation!$F$24*12)</f>
        <v>0</v>
      </c>
      <c r="I249" s="114">
        <f>(Simulation!$F$22-VLOOKUP(Simulation!$C$27,'Comparatif fiscal'!$B$8:$E$17,4,FALSE)-C249)*(B249=Simulation!$F$24*12)</f>
        <v>0</v>
      </c>
      <c r="J249" s="114">
        <f>(Simulation!$C$21+Simulation!$C$22)/12*(1+Simulation!$F$17)^INT((B249-1)/12)*(B249&lt;=Simulation!$F$24*12)</f>
        <v>0</v>
      </c>
      <c r="K249" s="114">
        <f>(H249*Simulation!$C$24+Simulation!$C$23/12*(1+Simulation!$F$15)^INT((B249-1)/12))*(B249&lt;=Simulation!$F$24*12)</f>
        <v>0</v>
      </c>
      <c r="L249" s="114">
        <f>Simulation!$C$19/12*(1+Simulation!$F$18)^INT((B249-1)/12)*(B249&lt;=Simulation!$F$24*12)</f>
        <v>0</v>
      </c>
      <c r="M249" s="114">
        <f>(Simulation!$C$20/12*(1+Simulation!$F$19)^INT((B249-1)/12)+F249)*(B249&lt;=Simulation!$F$24*12)</f>
        <v>0</v>
      </c>
      <c r="N249" s="114">
        <f ca="1">SUMIF('Détail fiscalité'!$B$8:$B$37,INT(B249/12),'Détail fiscalité'!$CI$8:$CI$37)/12+SUMIF('Détail fiscalité'!$B$8:$B$37,B249/12,'Détail fiscalité'!$CI$8:$CI$37)-SUMIF('Détail fiscalité'!$B$8:$B$37,B249/12-1,'Détail fiscalité'!$CI$8:$CI$37)</f>
        <v>0</v>
      </c>
      <c r="O249" s="116">
        <f t="shared" ca="1" si="22"/>
        <v>0</v>
      </c>
    </row>
    <row r="250" spans="2:15" x14ac:dyDescent="0.15">
      <c r="B250" s="40">
        <f t="shared" si="21"/>
        <v>243</v>
      </c>
      <c r="C250" s="113">
        <f>IF(B250&lt;=MIN(Simulation!$F$10*12+Simulation!$F$12*OR(Simulation!$F$11="Amortissable différé partiel",Simulation!$F$11="Amortissable différé total"),Simulation!$F$24*12),IF(AND(B250&lt;=Simulation!$F$12,OR(Simulation!$F$11="Amortissable différé partiel",Simulation!$F$11="Amortissable différé total")),C249*(1+(Simulation!$F$11="Amortissable différé total")*Simulation!$F$8/12),C249-D250),0)</f>
        <v>0</v>
      </c>
      <c r="D250" s="114">
        <f>IF(B250&lt;=MIN(Simulation!$F$10*12+Simulation!$F$12*OR(Simulation!$F$11="Amortissable différé partiel",Simulation!$F$11="Amortissable différé total"),Simulation!$F$24*12),G250-E250,0)</f>
        <v>0</v>
      </c>
      <c r="E250" s="114">
        <f>IF(B250&lt;=MIN(Simulation!$F$10*12+Simulation!$F$12*OR(Simulation!$F$11="Amortissable différé partiel",Simulation!$F$11="Amortissable différé total"),Simulation!$F$24*12),IF(AND(B250&lt;=Simulation!$F$12,Simulation!$F$11="Amortissable différé total"),0,C249*Simulation!$F$8/12),0)</f>
        <v>0</v>
      </c>
      <c r="F250" s="114">
        <f>IF(B250&lt;=MIN(Simulation!$F$10*12+Simulation!$F$12*OR(Simulation!$F$11="Amortissable différé partiel",Simulation!$F$11="Amortissable différé total"),Simulation!$F$24*12),Simulation!$E$33*Simulation!$F$9/12,0)</f>
        <v>0</v>
      </c>
      <c r="G250" s="115">
        <f>IF(B250&lt;=MIN(Simulation!$F$10*12+Simulation!$F$12*OR(Simulation!$F$11="Amortissable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partiel",IF(B250&lt;=Simulation!$F$12,Simulation!$E$33*Simulation!$F$8/12,PMT(Simulation!$F$8/12,Simulation!$F$10*12,-Simulation!$E$34)),IF(Simulation!$F$11="Amortissable différé total",IF(B250&lt;=Simulation!$F$12,0,PMT(Simulation!$F$8/12,Simulation!$F$10*12,-Simulation!$E$34)),IF(Simulation!$F$11="In fine",IF(B250=Simulation!$F$10*12,Simulation!$E$34,Simulation!$F$8*Simulation!$E$34/12),0)))),0)</f>
        <v>0</v>
      </c>
      <c r="H250" s="113">
        <f>Simulation!$C$16/12*(1+Simulation!$F$15)^INT((B250-1)/12)*(B250&lt;=Simulation!$F$24*12)</f>
        <v>0</v>
      </c>
      <c r="I250" s="114">
        <f>(Simulation!$F$22-VLOOKUP(Simulation!$C$27,'Comparatif fiscal'!$B$8:$E$17,4,FALSE)-C250)*(B250=Simulation!$F$24*12)</f>
        <v>0</v>
      </c>
      <c r="J250" s="114">
        <f>(Simulation!$C$21+Simulation!$C$22)/12*(1+Simulation!$F$17)^INT((B250-1)/12)*(B250&lt;=Simulation!$F$24*12)</f>
        <v>0</v>
      </c>
      <c r="K250" s="114">
        <f>(H250*Simulation!$C$24+Simulation!$C$23/12*(1+Simulation!$F$15)^INT((B250-1)/12))*(B250&lt;=Simulation!$F$24*12)</f>
        <v>0</v>
      </c>
      <c r="L250" s="114">
        <f>Simulation!$C$19/12*(1+Simulation!$F$18)^INT((B250-1)/12)*(B250&lt;=Simulation!$F$24*12)</f>
        <v>0</v>
      </c>
      <c r="M250" s="114">
        <f>(Simulation!$C$20/12*(1+Simulation!$F$19)^INT((B250-1)/12)+F250)*(B250&lt;=Simulation!$F$24*12)</f>
        <v>0</v>
      </c>
      <c r="N250" s="114">
        <f ca="1">SUMIF('Détail fiscalité'!$B$8:$B$37,INT(B250/12),'Détail fiscalité'!$CI$8:$CI$37)/12+SUMIF('Détail fiscalité'!$B$8:$B$37,B250/12,'Détail fiscalité'!$CI$8:$CI$37)-SUMIF('Détail fiscalité'!$B$8:$B$37,B250/12-1,'Détail fiscalité'!$CI$8:$CI$37)</f>
        <v>0</v>
      </c>
      <c r="O250" s="116">
        <f t="shared" ca="1" si="22"/>
        <v>0</v>
      </c>
    </row>
    <row r="251" spans="2:15" x14ac:dyDescent="0.15">
      <c r="B251" s="40">
        <f t="shared" si="21"/>
        <v>244</v>
      </c>
      <c r="C251" s="113">
        <f>IF(B251&lt;=MIN(Simulation!$F$10*12+Simulation!$F$12*OR(Simulation!$F$11="Amortissable différé partiel",Simulation!$F$11="Amortissable différé total"),Simulation!$F$24*12),IF(AND(B251&lt;=Simulation!$F$12,OR(Simulation!$F$11="Amortissable différé partiel",Simulation!$F$11="Amortissable différé total")),C250*(1+(Simulation!$F$11="Amortissable différé total")*Simulation!$F$8/12),C250-D251),0)</f>
        <v>0</v>
      </c>
      <c r="D251" s="114">
        <f>IF(B251&lt;=MIN(Simulation!$F$10*12+Simulation!$F$12*OR(Simulation!$F$11="Amortissable différé partiel",Simulation!$F$11="Amortissable différé total"),Simulation!$F$24*12),G251-E251,0)</f>
        <v>0</v>
      </c>
      <c r="E251" s="114">
        <f>IF(B251&lt;=MIN(Simulation!$F$10*12+Simulation!$F$12*OR(Simulation!$F$11="Amortissable différé partiel",Simulation!$F$11="Amortissable différé total"),Simulation!$F$24*12),IF(AND(B251&lt;=Simulation!$F$12,Simulation!$F$11="Amortissable différé total"),0,C250*Simulation!$F$8/12),0)</f>
        <v>0</v>
      </c>
      <c r="F251" s="114">
        <f>IF(B251&lt;=MIN(Simulation!$F$10*12+Simulation!$F$12*OR(Simulation!$F$11="Amortissable différé partiel",Simulation!$F$11="Amortissable différé total"),Simulation!$F$24*12),Simulation!$E$33*Simulation!$F$9/12,0)</f>
        <v>0</v>
      </c>
      <c r="G251" s="115">
        <f>IF(B251&lt;=MIN(Simulation!$F$10*12+Simulation!$F$12*OR(Simulation!$F$11="Amortissable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partiel",IF(B251&lt;=Simulation!$F$12,Simulation!$E$33*Simulation!$F$8/12,PMT(Simulation!$F$8/12,Simulation!$F$10*12,-Simulation!$E$34)),IF(Simulation!$F$11="Amortissable différé total",IF(B251&lt;=Simulation!$F$12,0,PMT(Simulation!$F$8/12,Simulation!$F$10*12,-Simulation!$E$34)),IF(Simulation!$F$11="In fine",IF(B251=Simulation!$F$10*12,Simulation!$E$34,Simulation!$F$8*Simulation!$E$34/12),0)))),0)</f>
        <v>0</v>
      </c>
      <c r="H251" s="113">
        <f>Simulation!$C$16/12*(1+Simulation!$F$15)^INT((B251-1)/12)*(B251&lt;=Simulation!$F$24*12)</f>
        <v>0</v>
      </c>
      <c r="I251" s="114">
        <f>(Simulation!$F$22-VLOOKUP(Simulation!$C$27,'Comparatif fiscal'!$B$8:$E$17,4,FALSE)-C251)*(B251=Simulation!$F$24*12)</f>
        <v>0</v>
      </c>
      <c r="J251" s="114">
        <f>(Simulation!$C$21+Simulation!$C$22)/12*(1+Simulation!$F$17)^INT((B251-1)/12)*(B251&lt;=Simulation!$F$24*12)</f>
        <v>0</v>
      </c>
      <c r="K251" s="114">
        <f>(H251*Simulation!$C$24+Simulation!$C$23/12*(1+Simulation!$F$15)^INT((B251-1)/12))*(B251&lt;=Simulation!$F$24*12)</f>
        <v>0</v>
      </c>
      <c r="L251" s="114">
        <f>Simulation!$C$19/12*(1+Simulation!$F$18)^INT((B251-1)/12)*(B251&lt;=Simulation!$F$24*12)</f>
        <v>0</v>
      </c>
      <c r="M251" s="114">
        <f>(Simulation!$C$20/12*(1+Simulation!$F$19)^INT((B251-1)/12)+F251)*(B251&lt;=Simulation!$F$24*12)</f>
        <v>0</v>
      </c>
      <c r="N251" s="114">
        <f ca="1">SUMIF('Détail fiscalité'!$B$8:$B$37,INT(B251/12),'Détail fiscalité'!$CI$8:$CI$37)/12+SUMIF('Détail fiscalité'!$B$8:$B$37,B251/12,'Détail fiscalité'!$CI$8:$CI$37)-SUMIF('Détail fiscalité'!$B$8:$B$37,B251/12-1,'Détail fiscalité'!$CI$8:$CI$37)</f>
        <v>0</v>
      </c>
      <c r="O251" s="116">
        <f t="shared" ca="1" si="22"/>
        <v>0</v>
      </c>
    </row>
    <row r="252" spans="2:15" x14ac:dyDescent="0.15">
      <c r="B252" s="40">
        <f t="shared" si="21"/>
        <v>245</v>
      </c>
      <c r="C252" s="113">
        <f>IF(B252&lt;=MIN(Simulation!$F$10*12+Simulation!$F$12*OR(Simulation!$F$11="Amortissable différé partiel",Simulation!$F$11="Amortissable différé total"),Simulation!$F$24*12),IF(AND(B252&lt;=Simulation!$F$12,OR(Simulation!$F$11="Amortissable différé partiel",Simulation!$F$11="Amortissable différé total")),C251*(1+(Simulation!$F$11="Amortissable différé total")*Simulation!$F$8/12),C251-D252),0)</f>
        <v>0</v>
      </c>
      <c r="D252" s="114">
        <f>IF(B252&lt;=MIN(Simulation!$F$10*12+Simulation!$F$12*OR(Simulation!$F$11="Amortissable différé partiel",Simulation!$F$11="Amortissable différé total"),Simulation!$F$24*12),G252-E252,0)</f>
        <v>0</v>
      </c>
      <c r="E252" s="114">
        <f>IF(B252&lt;=MIN(Simulation!$F$10*12+Simulation!$F$12*OR(Simulation!$F$11="Amortissable différé partiel",Simulation!$F$11="Amortissable différé total"),Simulation!$F$24*12),IF(AND(B252&lt;=Simulation!$F$12,Simulation!$F$11="Amortissable différé total"),0,C251*Simulation!$F$8/12),0)</f>
        <v>0</v>
      </c>
      <c r="F252" s="114">
        <f>IF(B252&lt;=MIN(Simulation!$F$10*12+Simulation!$F$12*OR(Simulation!$F$11="Amortissable différé partiel",Simulation!$F$11="Amortissable différé total"),Simulation!$F$24*12),Simulation!$E$33*Simulation!$F$9/12,0)</f>
        <v>0</v>
      </c>
      <c r="G252" s="115">
        <f>IF(B252&lt;=MIN(Simulation!$F$10*12+Simulation!$F$12*OR(Simulation!$F$11="Amortissable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partiel",IF(B252&lt;=Simulation!$F$12,Simulation!$E$33*Simulation!$F$8/12,PMT(Simulation!$F$8/12,Simulation!$F$10*12,-Simulation!$E$34)),IF(Simulation!$F$11="Amortissable différé total",IF(B252&lt;=Simulation!$F$12,0,PMT(Simulation!$F$8/12,Simulation!$F$10*12,-Simulation!$E$34)),IF(Simulation!$F$11="In fine",IF(B252=Simulation!$F$10*12,Simulation!$E$34,Simulation!$F$8*Simulation!$E$34/12),0)))),0)</f>
        <v>0</v>
      </c>
      <c r="H252" s="113">
        <f>Simulation!$C$16/12*(1+Simulation!$F$15)^INT((B252-1)/12)*(B252&lt;=Simulation!$F$24*12)</f>
        <v>0</v>
      </c>
      <c r="I252" s="114">
        <f>(Simulation!$F$22-VLOOKUP(Simulation!$C$27,'Comparatif fiscal'!$B$8:$E$17,4,FALSE)-C252)*(B252=Simulation!$F$24*12)</f>
        <v>0</v>
      </c>
      <c r="J252" s="114">
        <f>(Simulation!$C$21+Simulation!$C$22)/12*(1+Simulation!$F$17)^INT((B252-1)/12)*(B252&lt;=Simulation!$F$24*12)</f>
        <v>0</v>
      </c>
      <c r="K252" s="114">
        <f>(H252*Simulation!$C$24+Simulation!$C$23/12*(1+Simulation!$F$15)^INT((B252-1)/12))*(B252&lt;=Simulation!$F$24*12)</f>
        <v>0</v>
      </c>
      <c r="L252" s="114">
        <f>Simulation!$C$19/12*(1+Simulation!$F$18)^INT((B252-1)/12)*(B252&lt;=Simulation!$F$24*12)</f>
        <v>0</v>
      </c>
      <c r="M252" s="114">
        <f>(Simulation!$C$20/12*(1+Simulation!$F$19)^INT((B252-1)/12)+F252)*(B252&lt;=Simulation!$F$24*12)</f>
        <v>0</v>
      </c>
      <c r="N252" s="114">
        <f ca="1">SUMIF('Détail fiscalité'!$B$8:$B$37,INT(B252/12),'Détail fiscalité'!$CI$8:$CI$37)/12+SUMIF('Détail fiscalité'!$B$8:$B$37,B252/12,'Détail fiscalité'!$CI$8:$CI$37)-SUMIF('Détail fiscalité'!$B$8:$B$37,B252/12-1,'Détail fiscalité'!$CI$8:$CI$37)</f>
        <v>0</v>
      </c>
      <c r="O252" s="116">
        <f t="shared" ca="1" si="22"/>
        <v>0</v>
      </c>
    </row>
    <row r="253" spans="2:15" x14ac:dyDescent="0.15">
      <c r="B253" s="40">
        <f t="shared" si="21"/>
        <v>246</v>
      </c>
      <c r="C253" s="113">
        <f>IF(B253&lt;=MIN(Simulation!$F$10*12+Simulation!$F$12*OR(Simulation!$F$11="Amortissable différé partiel",Simulation!$F$11="Amortissable différé total"),Simulation!$F$24*12),IF(AND(B253&lt;=Simulation!$F$12,OR(Simulation!$F$11="Amortissable différé partiel",Simulation!$F$11="Amortissable différé total")),C252*(1+(Simulation!$F$11="Amortissable différé total")*Simulation!$F$8/12),C252-D253),0)</f>
        <v>0</v>
      </c>
      <c r="D253" s="114">
        <f>IF(B253&lt;=MIN(Simulation!$F$10*12+Simulation!$F$12*OR(Simulation!$F$11="Amortissable différé partiel",Simulation!$F$11="Amortissable différé total"),Simulation!$F$24*12),G253-E253,0)</f>
        <v>0</v>
      </c>
      <c r="E253" s="114">
        <f>IF(B253&lt;=MIN(Simulation!$F$10*12+Simulation!$F$12*OR(Simulation!$F$11="Amortissable différé partiel",Simulation!$F$11="Amortissable différé total"),Simulation!$F$24*12),IF(AND(B253&lt;=Simulation!$F$12,Simulation!$F$11="Amortissable différé total"),0,C252*Simulation!$F$8/12),0)</f>
        <v>0</v>
      </c>
      <c r="F253" s="114">
        <f>IF(B253&lt;=MIN(Simulation!$F$10*12+Simulation!$F$12*OR(Simulation!$F$11="Amortissable différé partiel",Simulation!$F$11="Amortissable différé total"),Simulation!$F$24*12),Simulation!$E$33*Simulation!$F$9/12,0)</f>
        <v>0</v>
      </c>
      <c r="G253" s="115">
        <f>IF(B253&lt;=MIN(Simulation!$F$10*12+Simulation!$F$12*OR(Simulation!$F$11="Amortissable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partiel",IF(B253&lt;=Simulation!$F$12,Simulation!$E$33*Simulation!$F$8/12,PMT(Simulation!$F$8/12,Simulation!$F$10*12,-Simulation!$E$34)),IF(Simulation!$F$11="Amortissable différé total",IF(B253&lt;=Simulation!$F$12,0,PMT(Simulation!$F$8/12,Simulation!$F$10*12,-Simulation!$E$34)),IF(Simulation!$F$11="In fine",IF(B253=Simulation!$F$10*12,Simulation!$E$34,Simulation!$F$8*Simulation!$E$34/12),0)))),0)</f>
        <v>0</v>
      </c>
      <c r="H253" s="113">
        <f>Simulation!$C$16/12*(1+Simulation!$F$15)^INT((B253-1)/12)*(B253&lt;=Simulation!$F$24*12)</f>
        <v>0</v>
      </c>
      <c r="I253" s="114">
        <f>(Simulation!$F$22-VLOOKUP(Simulation!$C$27,'Comparatif fiscal'!$B$8:$E$17,4,FALSE)-C253)*(B253=Simulation!$F$24*12)</f>
        <v>0</v>
      </c>
      <c r="J253" s="114">
        <f>(Simulation!$C$21+Simulation!$C$22)/12*(1+Simulation!$F$17)^INT((B253-1)/12)*(B253&lt;=Simulation!$F$24*12)</f>
        <v>0</v>
      </c>
      <c r="K253" s="114">
        <f>(H253*Simulation!$C$24+Simulation!$C$23/12*(1+Simulation!$F$15)^INT((B253-1)/12))*(B253&lt;=Simulation!$F$24*12)</f>
        <v>0</v>
      </c>
      <c r="L253" s="114">
        <f>Simulation!$C$19/12*(1+Simulation!$F$18)^INT((B253-1)/12)*(B253&lt;=Simulation!$F$24*12)</f>
        <v>0</v>
      </c>
      <c r="M253" s="114">
        <f>(Simulation!$C$20/12*(1+Simulation!$F$19)^INT((B253-1)/12)+F253)*(B253&lt;=Simulation!$F$24*12)</f>
        <v>0</v>
      </c>
      <c r="N253" s="114">
        <f ca="1">SUMIF('Détail fiscalité'!$B$8:$B$37,INT(B253/12),'Détail fiscalité'!$CI$8:$CI$37)/12+SUMIF('Détail fiscalité'!$B$8:$B$37,B253/12,'Détail fiscalité'!$CI$8:$CI$37)-SUMIF('Détail fiscalité'!$B$8:$B$37,B253/12-1,'Détail fiscalité'!$CI$8:$CI$37)</f>
        <v>0</v>
      </c>
      <c r="O253" s="116">
        <f t="shared" ca="1" si="22"/>
        <v>0</v>
      </c>
    </row>
    <row r="254" spans="2:15" x14ac:dyDescent="0.15">
      <c r="B254" s="40">
        <f t="shared" si="21"/>
        <v>247</v>
      </c>
      <c r="C254" s="113">
        <f>IF(B254&lt;=MIN(Simulation!$F$10*12+Simulation!$F$12*OR(Simulation!$F$11="Amortissable différé partiel",Simulation!$F$11="Amortissable différé total"),Simulation!$F$24*12),IF(AND(B254&lt;=Simulation!$F$12,OR(Simulation!$F$11="Amortissable différé partiel",Simulation!$F$11="Amortissable différé total")),C253*(1+(Simulation!$F$11="Amortissable différé total")*Simulation!$F$8/12),C253-D254),0)</f>
        <v>0</v>
      </c>
      <c r="D254" s="114">
        <f>IF(B254&lt;=MIN(Simulation!$F$10*12+Simulation!$F$12*OR(Simulation!$F$11="Amortissable différé partiel",Simulation!$F$11="Amortissable différé total"),Simulation!$F$24*12),G254-E254,0)</f>
        <v>0</v>
      </c>
      <c r="E254" s="114">
        <f>IF(B254&lt;=MIN(Simulation!$F$10*12+Simulation!$F$12*OR(Simulation!$F$11="Amortissable différé partiel",Simulation!$F$11="Amortissable différé total"),Simulation!$F$24*12),IF(AND(B254&lt;=Simulation!$F$12,Simulation!$F$11="Amortissable différé total"),0,C253*Simulation!$F$8/12),0)</f>
        <v>0</v>
      </c>
      <c r="F254" s="114">
        <f>IF(B254&lt;=MIN(Simulation!$F$10*12+Simulation!$F$12*OR(Simulation!$F$11="Amortissable différé partiel",Simulation!$F$11="Amortissable différé total"),Simulation!$F$24*12),Simulation!$E$33*Simulation!$F$9/12,0)</f>
        <v>0</v>
      </c>
      <c r="G254" s="115">
        <f>IF(B254&lt;=MIN(Simulation!$F$10*12+Simulation!$F$12*OR(Simulation!$F$11="Amortissable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partiel",IF(B254&lt;=Simulation!$F$12,Simulation!$E$33*Simulation!$F$8/12,PMT(Simulation!$F$8/12,Simulation!$F$10*12,-Simulation!$E$34)),IF(Simulation!$F$11="Amortissable différé total",IF(B254&lt;=Simulation!$F$12,0,PMT(Simulation!$F$8/12,Simulation!$F$10*12,-Simulation!$E$34)),IF(Simulation!$F$11="In fine",IF(B254=Simulation!$F$10*12,Simulation!$E$34,Simulation!$F$8*Simulation!$E$34/12),0)))),0)</f>
        <v>0</v>
      </c>
      <c r="H254" s="113">
        <f>Simulation!$C$16/12*(1+Simulation!$F$15)^INT((B254-1)/12)*(B254&lt;=Simulation!$F$24*12)</f>
        <v>0</v>
      </c>
      <c r="I254" s="114">
        <f>(Simulation!$F$22-VLOOKUP(Simulation!$C$27,'Comparatif fiscal'!$B$8:$E$17,4,FALSE)-C254)*(B254=Simulation!$F$24*12)</f>
        <v>0</v>
      </c>
      <c r="J254" s="114">
        <f>(Simulation!$C$21+Simulation!$C$22)/12*(1+Simulation!$F$17)^INT((B254-1)/12)*(B254&lt;=Simulation!$F$24*12)</f>
        <v>0</v>
      </c>
      <c r="K254" s="114">
        <f>(H254*Simulation!$C$24+Simulation!$C$23/12*(1+Simulation!$F$15)^INT((B254-1)/12))*(B254&lt;=Simulation!$F$24*12)</f>
        <v>0</v>
      </c>
      <c r="L254" s="114">
        <f>Simulation!$C$19/12*(1+Simulation!$F$18)^INT((B254-1)/12)*(B254&lt;=Simulation!$F$24*12)</f>
        <v>0</v>
      </c>
      <c r="M254" s="114">
        <f>(Simulation!$C$20/12*(1+Simulation!$F$19)^INT((B254-1)/12)+F254)*(B254&lt;=Simulation!$F$24*12)</f>
        <v>0</v>
      </c>
      <c r="N254" s="114">
        <f ca="1">SUMIF('Détail fiscalité'!$B$8:$B$37,INT(B254/12),'Détail fiscalité'!$CI$8:$CI$37)/12+SUMIF('Détail fiscalité'!$B$8:$B$37,B254/12,'Détail fiscalité'!$CI$8:$CI$37)-SUMIF('Détail fiscalité'!$B$8:$B$37,B254/12-1,'Détail fiscalité'!$CI$8:$CI$37)</f>
        <v>0</v>
      </c>
      <c r="O254" s="116">
        <f t="shared" ca="1" si="22"/>
        <v>0</v>
      </c>
    </row>
    <row r="255" spans="2:15" x14ac:dyDescent="0.15">
      <c r="B255" s="40">
        <f t="shared" si="21"/>
        <v>248</v>
      </c>
      <c r="C255" s="113">
        <f>IF(B255&lt;=MIN(Simulation!$F$10*12+Simulation!$F$12*OR(Simulation!$F$11="Amortissable différé partiel",Simulation!$F$11="Amortissable différé total"),Simulation!$F$24*12),IF(AND(B255&lt;=Simulation!$F$12,OR(Simulation!$F$11="Amortissable différé partiel",Simulation!$F$11="Amortissable différé total")),C254*(1+(Simulation!$F$11="Amortissable différé total")*Simulation!$F$8/12),C254-D255),0)</f>
        <v>0</v>
      </c>
      <c r="D255" s="114">
        <f>IF(B255&lt;=MIN(Simulation!$F$10*12+Simulation!$F$12*OR(Simulation!$F$11="Amortissable différé partiel",Simulation!$F$11="Amortissable différé total"),Simulation!$F$24*12),G255-E255,0)</f>
        <v>0</v>
      </c>
      <c r="E255" s="114">
        <f>IF(B255&lt;=MIN(Simulation!$F$10*12+Simulation!$F$12*OR(Simulation!$F$11="Amortissable différé partiel",Simulation!$F$11="Amortissable différé total"),Simulation!$F$24*12),IF(AND(B255&lt;=Simulation!$F$12,Simulation!$F$11="Amortissable différé total"),0,C254*Simulation!$F$8/12),0)</f>
        <v>0</v>
      </c>
      <c r="F255" s="114">
        <f>IF(B255&lt;=MIN(Simulation!$F$10*12+Simulation!$F$12*OR(Simulation!$F$11="Amortissable différé partiel",Simulation!$F$11="Amortissable différé total"),Simulation!$F$24*12),Simulation!$E$33*Simulation!$F$9/12,0)</f>
        <v>0</v>
      </c>
      <c r="G255" s="115">
        <f>IF(B255&lt;=MIN(Simulation!$F$10*12+Simulation!$F$12*OR(Simulation!$F$11="Amortissable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partiel",IF(B255&lt;=Simulation!$F$12,Simulation!$E$33*Simulation!$F$8/12,PMT(Simulation!$F$8/12,Simulation!$F$10*12,-Simulation!$E$34)),IF(Simulation!$F$11="Amortissable différé total",IF(B255&lt;=Simulation!$F$12,0,PMT(Simulation!$F$8/12,Simulation!$F$10*12,-Simulation!$E$34)),IF(Simulation!$F$11="In fine",IF(B255=Simulation!$F$10*12,Simulation!$E$34,Simulation!$F$8*Simulation!$E$34/12),0)))),0)</f>
        <v>0</v>
      </c>
      <c r="H255" s="113">
        <f>Simulation!$C$16/12*(1+Simulation!$F$15)^INT((B255-1)/12)*(B255&lt;=Simulation!$F$24*12)</f>
        <v>0</v>
      </c>
      <c r="I255" s="114">
        <f>(Simulation!$F$22-VLOOKUP(Simulation!$C$27,'Comparatif fiscal'!$B$8:$E$17,4,FALSE)-C255)*(B255=Simulation!$F$24*12)</f>
        <v>0</v>
      </c>
      <c r="J255" s="114">
        <f>(Simulation!$C$21+Simulation!$C$22)/12*(1+Simulation!$F$17)^INT((B255-1)/12)*(B255&lt;=Simulation!$F$24*12)</f>
        <v>0</v>
      </c>
      <c r="K255" s="114">
        <f>(H255*Simulation!$C$24+Simulation!$C$23/12*(1+Simulation!$F$15)^INT((B255-1)/12))*(B255&lt;=Simulation!$F$24*12)</f>
        <v>0</v>
      </c>
      <c r="L255" s="114">
        <f>Simulation!$C$19/12*(1+Simulation!$F$18)^INT((B255-1)/12)*(B255&lt;=Simulation!$F$24*12)</f>
        <v>0</v>
      </c>
      <c r="M255" s="114">
        <f>(Simulation!$C$20/12*(1+Simulation!$F$19)^INT((B255-1)/12)+F255)*(B255&lt;=Simulation!$F$24*12)</f>
        <v>0</v>
      </c>
      <c r="N255" s="114">
        <f ca="1">SUMIF('Détail fiscalité'!$B$8:$B$37,INT(B255/12),'Détail fiscalité'!$CI$8:$CI$37)/12+SUMIF('Détail fiscalité'!$B$8:$B$37,B255/12,'Détail fiscalité'!$CI$8:$CI$37)-SUMIF('Détail fiscalité'!$B$8:$B$37,B255/12-1,'Détail fiscalité'!$CI$8:$CI$37)</f>
        <v>0</v>
      </c>
      <c r="O255" s="116">
        <f t="shared" ca="1" si="22"/>
        <v>0</v>
      </c>
    </row>
    <row r="256" spans="2:15" x14ac:dyDescent="0.15">
      <c r="B256" s="40">
        <f t="shared" si="21"/>
        <v>249</v>
      </c>
      <c r="C256" s="113">
        <f>IF(B256&lt;=MIN(Simulation!$F$10*12+Simulation!$F$12*OR(Simulation!$F$11="Amortissable différé partiel",Simulation!$F$11="Amortissable différé total"),Simulation!$F$24*12),IF(AND(B256&lt;=Simulation!$F$12,OR(Simulation!$F$11="Amortissable différé partiel",Simulation!$F$11="Amortissable différé total")),C255*(1+(Simulation!$F$11="Amortissable différé total")*Simulation!$F$8/12),C255-D256),0)</f>
        <v>0</v>
      </c>
      <c r="D256" s="114">
        <f>IF(B256&lt;=MIN(Simulation!$F$10*12+Simulation!$F$12*OR(Simulation!$F$11="Amortissable différé partiel",Simulation!$F$11="Amortissable différé total"),Simulation!$F$24*12),G256-E256,0)</f>
        <v>0</v>
      </c>
      <c r="E256" s="114">
        <f>IF(B256&lt;=MIN(Simulation!$F$10*12+Simulation!$F$12*OR(Simulation!$F$11="Amortissable différé partiel",Simulation!$F$11="Amortissable différé total"),Simulation!$F$24*12),IF(AND(B256&lt;=Simulation!$F$12,Simulation!$F$11="Amortissable différé total"),0,C255*Simulation!$F$8/12),0)</f>
        <v>0</v>
      </c>
      <c r="F256" s="114">
        <f>IF(B256&lt;=MIN(Simulation!$F$10*12+Simulation!$F$12*OR(Simulation!$F$11="Amortissable différé partiel",Simulation!$F$11="Amortissable différé total"),Simulation!$F$24*12),Simulation!$E$33*Simulation!$F$9/12,0)</f>
        <v>0</v>
      </c>
      <c r="G256" s="115">
        <f>IF(B256&lt;=MIN(Simulation!$F$10*12+Simulation!$F$12*OR(Simulation!$F$11="Amortissable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partiel",IF(B256&lt;=Simulation!$F$12,Simulation!$E$33*Simulation!$F$8/12,PMT(Simulation!$F$8/12,Simulation!$F$10*12,-Simulation!$E$34)),IF(Simulation!$F$11="Amortissable différé total",IF(B256&lt;=Simulation!$F$12,0,PMT(Simulation!$F$8/12,Simulation!$F$10*12,-Simulation!$E$34)),IF(Simulation!$F$11="In fine",IF(B256=Simulation!$F$10*12,Simulation!$E$34,Simulation!$F$8*Simulation!$E$34/12),0)))),0)</f>
        <v>0</v>
      </c>
      <c r="H256" s="113">
        <f>Simulation!$C$16/12*(1+Simulation!$F$15)^INT((B256-1)/12)*(B256&lt;=Simulation!$F$24*12)</f>
        <v>0</v>
      </c>
      <c r="I256" s="114">
        <f>(Simulation!$F$22-VLOOKUP(Simulation!$C$27,'Comparatif fiscal'!$B$8:$E$17,4,FALSE)-C256)*(B256=Simulation!$F$24*12)</f>
        <v>0</v>
      </c>
      <c r="J256" s="114">
        <f>(Simulation!$C$21+Simulation!$C$22)/12*(1+Simulation!$F$17)^INT((B256-1)/12)*(B256&lt;=Simulation!$F$24*12)</f>
        <v>0</v>
      </c>
      <c r="K256" s="114">
        <f>(H256*Simulation!$C$24+Simulation!$C$23/12*(1+Simulation!$F$15)^INT((B256-1)/12))*(B256&lt;=Simulation!$F$24*12)</f>
        <v>0</v>
      </c>
      <c r="L256" s="114">
        <f>Simulation!$C$19/12*(1+Simulation!$F$18)^INT((B256-1)/12)*(B256&lt;=Simulation!$F$24*12)</f>
        <v>0</v>
      </c>
      <c r="M256" s="114">
        <f>(Simulation!$C$20/12*(1+Simulation!$F$19)^INT((B256-1)/12)+F256)*(B256&lt;=Simulation!$F$24*12)</f>
        <v>0</v>
      </c>
      <c r="N256" s="114">
        <f ca="1">SUMIF('Détail fiscalité'!$B$8:$B$37,INT(B256/12),'Détail fiscalité'!$CI$8:$CI$37)/12+SUMIF('Détail fiscalité'!$B$8:$B$37,B256/12,'Détail fiscalité'!$CI$8:$CI$37)-SUMIF('Détail fiscalité'!$B$8:$B$37,B256/12-1,'Détail fiscalité'!$CI$8:$CI$37)</f>
        <v>0</v>
      </c>
      <c r="O256" s="116">
        <f t="shared" ca="1" si="22"/>
        <v>0</v>
      </c>
    </row>
    <row r="257" spans="2:15" x14ac:dyDescent="0.15">
      <c r="B257" s="40">
        <f t="shared" si="21"/>
        <v>250</v>
      </c>
      <c r="C257" s="113">
        <f>IF(B257&lt;=MIN(Simulation!$F$10*12+Simulation!$F$12*OR(Simulation!$F$11="Amortissable différé partiel",Simulation!$F$11="Amortissable différé total"),Simulation!$F$24*12),IF(AND(B257&lt;=Simulation!$F$12,OR(Simulation!$F$11="Amortissable différé partiel",Simulation!$F$11="Amortissable différé total")),C256*(1+(Simulation!$F$11="Amortissable différé total")*Simulation!$F$8/12),C256-D257),0)</f>
        <v>0</v>
      </c>
      <c r="D257" s="114">
        <f>IF(B257&lt;=MIN(Simulation!$F$10*12+Simulation!$F$12*OR(Simulation!$F$11="Amortissable différé partiel",Simulation!$F$11="Amortissable différé total"),Simulation!$F$24*12),G257-E257,0)</f>
        <v>0</v>
      </c>
      <c r="E257" s="114">
        <f>IF(B257&lt;=MIN(Simulation!$F$10*12+Simulation!$F$12*OR(Simulation!$F$11="Amortissable différé partiel",Simulation!$F$11="Amortissable différé total"),Simulation!$F$24*12),IF(AND(B257&lt;=Simulation!$F$12,Simulation!$F$11="Amortissable différé total"),0,C256*Simulation!$F$8/12),0)</f>
        <v>0</v>
      </c>
      <c r="F257" s="114">
        <f>IF(B257&lt;=MIN(Simulation!$F$10*12+Simulation!$F$12*OR(Simulation!$F$11="Amortissable différé partiel",Simulation!$F$11="Amortissable différé total"),Simulation!$F$24*12),Simulation!$E$33*Simulation!$F$9/12,0)</f>
        <v>0</v>
      </c>
      <c r="G257" s="115">
        <f>IF(B257&lt;=MIN(Simulation!$F$10*12+Simulation!$F$12*OR(Simulation!$F$11="Amortissable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partiel",IF(B257&lt;=Simulation!$F$12,Simulation!$E$33*Simulation!$F$8/12,PMT(Simulation!$F$8/12,Simulation!$F$10*12,-Simulation!$E$34)),IF(Simulation!$F$11="Amortissable différé total",IF(B257&lt;=Simulation!$F$12,0,PMT(Simulation!$F$8/12,Simulation!$F$10*12,-Simulation!$E$34)),IF(Simulation!$F$11="In fine",IF(B257=Simulation!$F$10*12,Simulation!$E$34,Simulation!$F$8*Simulation!$E$34/12),0)))),0)</f>
        <v>0</v>
      </c>
      <c r="H257" s="113">
        <f>Simulation!$C$16/12*(1+Simulation!$F$15)^INT((B257-1)/12)*(B257&lt;=Simulation!$F$24*12)</f>
        <v>0</v>
      </c>
      <c r="I257" s="114">
        <f>(Simulation!$F$22-VLOOKUP(Simulation!$C$27,'Comparatif fiscal'!$B$8:$E$17,4,FALSE)-C257)*(B257=Simulation!$F$24*12)</f>
        <v>0</v>
      </c>
      <c r="J257" s="114">
        <f>(Simulation!$C$21+Simulation!$C$22)/12*(1+Simulation!$F$17)^INT((B257-1)/12)*(B257&lt;=Simulation!$F$24*12)</f>
        <v>0</v>
      </c>
      <c r="K257" s="114">
        <f>(H257*Simulation!$C$24+Simulation!$C$23/12*(1+Simulation!$F$15)^INT((B257-1)/12))*(B257&lt;=Simulation!$F$24*12)</f>
        <v>0</v>
      </c>
      <c r="L257" s="114">
        <f>Simulation!$C$19/12*(1+Simulation!$F$18)^INT((B257-1)/12)*(B257&lt;=Simulation!$F$24*12)</f>
        <v>0</v>
      </c>
      <c r="M257" s="114">
        <f>(Simulation!$C$20/12*(1+Simulation!$F$19)^INT((B257-1)/12)+F257)*(B257&lt;=Simulation!$F$24*12)</f>
        <v>0</v>
      </c>
      <c r="N257" s="114">
        <f ca="1">SUMIF('Détail fiscalité'!$B$8:$B$37,INT(B257/12),'Détail fiscalité'!$CI$8:$CI$37)/12+SUMIF('Détail fiscalité'!$B$8:$B$37,B257/12,'Détail fiscalité'!$CI$8:$CI$37)-SUMIF('Détail fiscalité'!$B$8:$B$37,B257/12-1,'Détail fiscalité'!$CI$8:$CI$37)</f>
        <v>0</v>
      </c>
      <c r="O257" s="116">
        <f t="shared" ca="1" si="22"/>
        <v>0</v>
      </c>
    </row>
    <row r="258" spans="2:15" x14ac:dyDescent="0.15">
      <c r="B258" s="40">
        <f t="shared" si="21"/>
        <v>251</v>
      </c>
      <c r="C258" s="113">
        <f>IF(B258&lt;=MIN(Simulation!$F$10*12+Simulation!$F$12*OR(Simulation!$F$11="Amortissable différé partiel",Simulation!$F$11="Amortissable différé total"),Simulation!$F$24*12),IF(AND(B258&lt;=Simulation!$F$12,OR(Simulation!$F$11="Amortissable différé partiel",Simulation!$F$11="Amortissable différé total")),C257*(1+(Simulation!$F$11="Amortissable différé total")*Simulation!$F$8/12),C257-D258),0)</f>
        <v>0</v>
      </c>
      <c r="D258" s="114">
        <f>IF(B258&lt;=MIN(Simulation!$F$10*12+Simulation!$F$12*OR(Simulation!$F$11="Amortissable différé partiel",Simulation!$F$11="Amortissable différé total"),Simulation!$F$24*12),G258-E258,0)</f>
        <v>0</v>
      </c>
      <c r="E258" s="114">
        <f>IF(B258&lt;=MIN(Simulation!$F$10*12+Simulation!$F$12*OR(Simulation!$F$11="Amortissable différé partiel",Simulation!$F$11="Amortissable différé total"),Simulation!$F$24*12),IF(AND(B258&lt;=Simulation!$F$12,Simulation!$F$11="Amortissable différé total"),0,C257*Simulation!$F$8/12),0)</f>
        <v>0</v>
      </c>
      <c r="F258" s="114">
        <f>IF(B258&lt;=MIN(Simulation!$F$10*12+Simulation!$F$12*OR(Simulation!$F$11="Amortissable différé partiel",Simulation!$F$11="Amortissable différé total"),Simulation!$F$24*12),Simulation!$E$33*Simulation!$F$9/12,0)</f>
        <v>0</v>
      </c>
      <c r="G258" s="115">
        <f>IF(B258&lt;=MIN(Simulation!$F$10*12+Simulation!$F$12*OR(Simulation!$F$11="Amortissable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partiel",IF(B258&lt;=Simulation!$F$12,Simulation!$E$33*Simulation!$F$8/12,PMT(Simulation!$F$8/12,Simulation!$F$10*12,-Simulation!$E$34)),IF(Simulation!$F$11="Amortissable différé total",IF(B258&lt;=Simulation!$F$12,0,PMT(Simulation!$F$8/12,Simulation!$F$10*12,-Simulation!$E$34)),IF(Simulation!$F$11="In fine",IF(B258=Simulation!$F$10*12,Simulation!$E$34,Simulation!$F$8*Simulation!$E$34/12),0)))),0)</f>
        <v>0</v>
      </c>
      <c r="H258" s="113">
        <f>Simulation!$C$16/12*(1+Simulation!$F$15)^INT((B258-1)/12)*(B258&lt;=Simulation!$F$24*12)</f>
        <v>0</v>
      </c>
      <c r="I258" s="114">
        <f>(Simulation!$F$22-VLOOKUP(Simulation!$C$27,'Comparatif fiscal'!$B$8:$E$17,4,FALSE)-C258)*(B258=Simulation!$F$24*12)</f>
        <v>0</v>
      </c>
      <c r="J258" s="114">
        <f>(Simulation!$C$21+Simulation!$C$22)/12*(1+Simulation!$F$17)^INT((B258-1)/12)*(B258&lt;=Simulation!$F$24*12)</f>
        <v>0</v>
      </c>
      <c r="K258" s="114">
        <f>(H258*Simulation!$C$24+Simulation!$C$23/12*(1+Simulation!$F$15)^INT((B258-1)/12))*(B258&lt;=Simulation!$F$24*12)</f>
        <v>0</v>
      </c>
      <c r="L258" s="114">
        <f>Simulation!$C$19/12*(1+Simulation!$F$18)^INT((B258-1)/12)*(B258&lt;=Simulation!$F$24*12)</f>
        <v>0</v>
      </c>
      <c r="M258" s="114">
        <f>(Simulation!$C$20/12*(1+Simulation!$F$19)^INT((B258-1)/12)+F258)*(B258&lt;=Simulation!$F$24*12)</f>
        <v>0</v>
      </c>
      <c r="N258" s="114">
        <f ca="1">SUMIF('Détail fiscalité'!$B$8:$B$37,INT(B258/12),'Détail fiscalité'!$CI$8:$CI$37)/12+SUMIF('Détail fiscalité'!$B$8:$B$37,B258/12,'Détail fiscalité'!$CI$8:$CI$37)-SUMIF('Détail fiscalité'!$B$8:$B$37,B258/12-1,'Détail fiscalité'!$CI$8:$CI$37)</f>
        <v>0</v>
      </c>
      <c r="O258" s="116">
        <f t="shared" ca="1" si="22"/>
        <v>0</v>
      </c>
    </row>
    <row r="259" spans="2:15" x14ac:dyDescent="0.15">
      <c r="B259" s="40">
        <f t="shared" si="21"/>
        <v>252</v>
      </c>
      <c r="C259" s="113">
        <f>IF(B259&lt;=MIN(Simulation!$F$10*12+Simulation!$F$12*OR(Simulation!$F$11="Amortissable différé partiel",Simulation!$F$11="Amortissable différé total"),Simulation!$F$24*12),IF(AND(B259&lt;=Simulation!$F$12,OR(Simulation!$F$11="Amortissable différé partiel",Simulation!$F$11="Amortissable différé total")),C258*(1+(Simulation!$F$11="Amortissable différé total")*Simulation!$F$8/12),C258-D259),0)</f>
        <v>0</v>
      </c>
      <c r="D259" s="114">
        <f>IF(B259&lt;=MIN(Simulation!$F$10*12+Simulation!$F$12*OR(Simulation!$F$11="Amortissable différé partiel",Simulation!$F$11="Amortissable différé total"),Simulation!$F$24*12),G259-E259,0)</f>
        <v>0</v>
      </c>
      <c r="E259" s="114">
        <f>IF(B259&lt;=MIN(Simulation!$F$10*12+Simulation!$F$12*OR(Simulation!$F$11="Amortissable différé partiel",Simulation!$F$11="Amortissable différé total"),Simulation!$F$24*12),IF(AND(B259&lt;=Simulation!$F$12,Simulation!$F$11="Amortissable différé total"),0,C258*Simulation!$F$8/12),0)</f>
        <v>0</v>
      </c>
      <c r="F259" s="114">
        <f>IF(B259&lt;=MIN(Simulation!$F$10*12+Simulation!$F$12*OR(Simulation!$F$11="Amortissable différé partiel",Simulation!$F$11="Amortissable différé total"),Simulation!$F$24*12),Simulation!$E$33*Simulation!$F$9/12,0)</f>
        <v>0</v>
      </c>
      <c r="G259" s="115">
        <f>IF(B259&lt;=MIN(Simulation!$F$10*12+Simulation!$F$12*OR(Simulation!$F$11="Amortissable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partiel",IF(B259&lt;=Simulation!$F$12,Simulation!$E$33*Simulation!$F$8/12,PMT(Simulation!$F$8/12,Simulation!$F$10*12,-Simulation!$E$34)),IF(Simulation!$F$11="Amortissable différé total",IF(B259&lt;=Simulation!$F$12,0,PMT(Simulation!$F$8/12,Simulation!$F$10*12,-Simulation!$E$34)),IF(Simulation!$F$11="In fine",IF(B259=Simulation!$F$10*12,Simulation!$E$34,Simulation!$F$8*Simulation!$E$34/12),0)))),0)</f>
        <v>0</v>
      </c>
      <c r="H259" s="113">
        <f>Simulation!$C$16/12*(1+Simulation!$F$15)^INT((B259-1)/12)*(B259&lt;=Simulation!$F$24*12)</f>
        <v>0</v>
      </c>
      <c r="I259" s="114">
        <f>(Simulation!$F$22-VLOOKUP(Simulation!$C$27,'Comparatif fiscal'!$B$8:$E$17,4,FALSE)-C259)*(B259=Simulation!$F$24*12)</f>
        <v>0</v>
      </c>
      <c r="J259" s="114">
        <f>(Simulation!$C$21+Simulation!$C$22)/12*(1+Simulation!$F$17)^INT((B259-1)/12)*(B259&lt;=Simulation!$F$24*12)</f>
        <v>0</v>
      </c>
      <c r="K259" s="114">
        <f>(H259*Simulation!$C$24+Simulation!$C$23/12*(1+Simulation!$F$15)^INT((B259-1)/12))*(B259&lt;=Simulation!$F$24*12)</f>
        <v>0</v>
      </c>
      <c r="L259" s="114">
        <f>Simulation!$C$19/12*(1+Simulation!$F$18)^INT((B259-1)/12)*(B259&lt;=Simulation!$F$24*12)</f>
        <v>0</v>
      </c>
      <c r="M259" s="114">
        <f>(Simulation!$C$20/12*(1+Simulation!$F$19)^INT((B259-1)/12)+F259)*(B259&lt;=Simulation!$F$24*12)</f>
        <v>0</v>
      </c>
      <c r="N259" s="114">
        <f ca="1">SUMIF('Détail fiscalité'!$B$8:$B$37,INT(B259/12),'Détail fiscalité'!$CI$8:$CI$37)/12+SUMIF('Détail fiscalité'!$B$8:$B$37,B259/12,'Détail fiscalité'!$CI$8:$CI$37)-SUMIF('Détail fiscalité'!$B$8:$B$37,B259/12-1,'Détail fiscalité'!$CI$8:$CI$37)</f>
        <v>0</v>
      </c>
      <c r="O259" s="116">
        <f t="shared" ca="1" si="22"/>
        <v>0</v>
      </c>
    </row>
    <row r="260" spans="2:15" x14ac:dyDescent="0.15">
      <c r="B260" s="40">
        <f t="shared" si="21"/>
        <v>253</v>
      </c>
      <c r="C260" s="113">
        <f>IF(B260&lt;=MIN(Simulation!$F$10*12+Simulation!$F$12*OR(Simulation!$F$11="Amortissable différé partiel",Simulation!$F$11="Amortissable différé total"),Simulation!$F$24*12),IF(AND(B260&lt;=Simulation!$F$12,OR(Simulation!$F$11="Amortissable différé partiel",Simulation!$F$11="Amortissable différé total")),C259*(1+(Simulation!$F$11="Amortissable différé total")*Simulation!$F$8/12),C259-D260),0)</f>
        <v>0</v>
      </c>
      <c r="D260" s="114">
        <f>IF(B260&lt;=MIN(Simulation!$F$10*12+Simulation!$F$12*OR(Simulation!$F$11="Amortissable différé partiel",Simulation!$F$11="Amortissable différé total"),Simulation!$F$24*12),G260-E260,0)</f>
        <v>0</v>
      </c>
      <c r="E260" s="114">
        <f>IF(B260&lt;=MIN(Simulation!$F$10*12+Simulation!$F$12*OR(Simulation!$F$11="Amortissable différé partiel",Simulation!$F$11="Amortissable différé total"),Simulation!$F$24*12),IF(AND(B260&lt;=Simulation!$F$12,Simulation!$F$11="Amortissable différé total"),0,C259*Simulation!$F$8/12),0)</f>
        <v>0</v>
      </c>
      <c r="F260" s="114">
        <f>IF(B260&lt;=MIN(Simulation!$F$10*12+Simulation!$F$12*OR(Simulation!$F$11="Amortissable différé partiel",Simulation!$F$11="Amortissable différé total"),Simulation!$F$24*12),Simulation!$E$33*Simulation!$F$9/12,0)</f>
        <v>0</v>
      </c>
      <c r="G260" s="115">
        <f>IF(B260&lt;=MIN(Simulation!$F$10*12+Simulation!$F$12*OR(Simulation!$F$11="Amortissable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partiel",IF(B260&lt;=Simulation!$F$12,Simulation!$E$33*Simulation!$F$8/12,PMT(Simulation!$F$8/12,Simulation!$F$10*12,-Simulation!$E$34)),IF(Simulation!$F$11="Amortissable différé total",IF(B260&lt;=Simulation!$F$12,0,PMT(Simulation!$F$8/12,Simulation!$F$10*12,-Simulation!$E$34)),IF(Simulation!$F$11="In fine",IF(B260=Simulation!$F$10*12,Simulation!$E$34,Simulation!$F$8*Simulation!$E$34/12),0)))),0)</f>
        <v>0</v>
      </c>
      <c r="H260" s="113">
        <f>Simulation!$C$16/12*(1+Simulation!$F$15)^INT((B260-1)/12)*(B260&lt;=Simulation!$F$24*12)</f>
        <v>0</v>
      </c>
      <c r="I260" s="114">
        <f>(Simulation!$F$22-VLOOKUP(Simulation!$C$27,'Comparatif fiscal'!$B$8:$E$17,4,FALSE)-C260)*(B260=Simulation!$F$24*12)</f>
        <v>0</v>
      </c>
      <c r="J260" s="114">
        <f>(Simulation!$C$21+Simulation!$C$22)/12*(1+Simulation!$F$17)^INT((B260-1)/12)*(B260&lt;=Simulation!$F$24*12)</f>
        <v>0</v>
      </c>
      <c r="K260" s="114">
        <f>(H260*Simulation!$C$24+Simulation!$C$23/12*(1+Simulation!$F$15)^INT((B260-1)/12))*(B260&lt;=Simulation!$F$24*12)</f>
        <v>0</v>
      </c>
      <c r="L260" s="114">
        <f>Simulation!$C$19/12*(1+Simulation!$F$18)^INT((B260-1)/12)*(B260&lt;=Simulation!$F$24*12)</f>
        <v>0</v>
      </c>
      <c r="M260" s="114">
        <f>(Simulation!$C$20/12*(1+Simulation!$F$19)^INT((B260-1)/12)+F260)*(B260&lt;=Simulation!$F$24*12)</f>
        <v>0</v>
      </c>
      <c r="N260" s="114">
        <f ca="1">SUMIF('Détail fiscalité'!$B$8:$B$37,INT(B260/12),'Détail fiscalité'!$CI$8:$CI$37)/12+SUMIF('Détail fiscalité'!$B$8:$B$37,B260/12,'Détail fiscalité'!$CI$8:$CI$37)-SUMIF('Détail fiscalité'!$B$8:$B$37,B260/12-1,'Détail fiscalité'!$CI$8:$CI$37)</f>
        <v>0</v>
      </c>
      <c r="O260" s="116">
        <f t="shared" ca="1" si="22"/>
        <v>0</v>
      </c>
    </row>
    <row r="261" spans="2:15" x14ac:dyDescent="0.15">
      <c r="B261" s="40">
        <f t="shared" si="21"/>
        <v>254</v>
      </c>
      <c r="C261" s="113">
        <f>IF(B261&lt;=MIN(Simulation!$F$10*12+Simulation!$F$12*OR(Simulation!$F$11="Amortissable différé partiel",Simulation!$F$11="Amortissable différé total"),Simulation!$F$24*12),IF(AND(B261&lt;=Simulation!$F$12,OR(Simulation!$F$11="Amortissable différé partiel",Simulation!$F$11="Amortissable différé total")),C260*(1+(Simulation!$F$11="Amortissable différé total")*Simulation!$F$8/12),C260-D261),0)</f>
        <v>0</v>
      </c>
      <c r="D261" s="114">
        <f>IF(B261&lt;=MIN(Simulation!$F$10*12+Simulation!$F$12*OR(Simulation!$F$11="Amortissable différé partiel",Simulation!$F$11="Amortissable différé total"),Simulation!$F$24*12),G261-E261,0)</f>
        <v>0</v>
      </c>
      <c r="E261" s="114">
        <f>IF(B261&lt;=MIN(Simulation!$F$10*12+Simulation!$F$12*OR(Simulation!$F$11="Amortissable différé partiel",Simulation!$F$11="Amortissable différé total"),Simulation!$F$24*12),IF(AND(B261&lt;=Simulation!$F$12,Simulation!$F$11="Amortissable différé total"),0,C260*Simulation!$F$8/12),0)</f>
        <v>0</v>
      </c>
      <c r="F261" s="114">
        <f>IF(B261&lt;=MIN(Simulation!$F$10*12+Simulation!$F$12*OR(Simulation!$F$11="Amortissable différé partiel",Simulation!$F$11="Amortissable différé total"),Simulation!$F$24*12),Simulation!$E$33*Simulation!$F$9/12,0)</f>
        <v>0</v>
      </c>
      <c r="G261" s="115">
        <f>IF(B261&lt;=MIN(Simulation!$F$10*12+Simulation!$F$12*OR(Simulation!$F$11="Amortissable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partiel",IF(B261&lt;=Simulation!$F$12,Simulation!$E$33*Simulation!$F$8/12,PMT(Simulation!$F$8/12,Simulation!$F$10*12,-Simulation!$E$34)),IF(Simulation!$F$11="Amortissable différé total",IF(B261&lt;=Simulation!$F$12,0,PMT(Simulation!$F$8/12,Simulation!$F$10*12,-Simulation!$E$34)),IF(Simulation!$F$11="In fine",IF(B261=Simulation!$F$10*12,Simulation!$E$34,Simulation!$F$8*Simulation!$E$34/12),0)))),0)</f>
        <v>0</v>
      </c>
      <c r="H261" s="113">
        <f>Simulation!$C$16/12*(1+Simulation!$F$15)^INT((B261-1)/12)*(B261&lt;=Simulation!$F$24*12)</f>
        <v>0</v>
      </c>
      <c r="I261" s="114">
        <f>(Simulation!$F$22-VLOOKUP(Simulation!$C$27,'Comparatif fiscal'!$B$8:$E$17,4,FALSE)-C261)*(B261=Simulation!$F$24*12)</f>
        <v>0</v>
      </c>
      <c r="J261" s="114">
        <f>(Simulation!$C$21+Simulation!$C$22)/12*(1+Simulation!$F$17)^INT((B261-1)/12)*(B261&lt;=Simulation!$F$24*12)</f>
        <v>0</v>
      </c>
      <c r="K261" s="114">
        <f>(H261*Simulation!$C$24+Simulation!$C$23/12*(1+Simulation!$F$15)^INT((B261-1)/12))*(B261&lt;=Simulation!$F$24*12)</f>
        <v>0</v>
      </c>
      <c r="L261" s="114">
        <f>Simulation!$C$19/12*(1+Simulation!$F$18)^INT((B261-1)/12)*(B261&lt;=Simulation!$F$24*12)</f>
        <v>0</v>
      </c>
      <c r="M261" s="114">
        <f>(Simulation!$C$20/12*(1+Simulation!$F$19)^INT((B261-1)/12)+F261)*(B261&lt;=Simulation!$F$24*12)</f>
        <v>0</v>
      </c>
      <c r="N261" s="114">
        <f ca="1">SUMIF('Détail fiscalité'!$B$8:$B$37,INT(B261/12),'Détail fiscalité'!$CI$8:$CI$37)/12+SUMIF('Détail fiscalité'!$B$8:$B$37,B261/12,'Détail fiscalité'!$CI$8:$CI$37)-SUMIF('Détail fiscalité'!$B$8:$B$37,B261/12-1,'Détail fiscalité'!$CI$8:$CI$37)</f>
        <v>0</v>
      </c>
      <c r="O261" s="116">
        <f t="shared" ca="1" si="22"/>
        <v>0</v>
      </c>
    </row>
    <row r="262" spans="2:15" x14ac:dyDescent="0.15">
      <c r="B262" s="40">
        <f t="shared" si="21"/>
        <v>255</v>
      </c>
      <c r="C262" s="113">
        <f>IF(B262&lt;=MIN(Simulation!$F$10*12+Simulation!$F$12*OR(Simulation!$F$11="Amortissable différé partiel",Simulation!$F$11="Amortissable différé total"),Simulation!$F$24*12),IF(AND(B262&lt;=Simulation!$F$12,OR(Simulation!$F$11="Amortissable différé partiel",Simulation!$F$11="Amortissable différé total")),C261*(1+(Simulation!$F$11="Amortissable différé total")*Simulation!$F$8/12),C261-D262),0)</f>
        <v>0</v>
      </c>
      <c r="D262" s="114">
        <f>IF(B262&lt;=MIN(Simulation!$F$10*12+Simulation!$F$12*OR(Simulation!$F$11="Amortissable différé partiel",Simulation!$F$11="Amortissable différé total"),Simulation!$F$24*12),G262-E262,0)</f>
        <v>0</v>
      </c>
      <c r="E262" s="114">
        <f>IF(B262&lt;=MIN(Simulation!$F$10*12+Simulation!$F$12*OR(Simulation!$F$11="Amortissable différé partiel",Simulation!$F$11="Amortissable différé total"),Simulation!$F$24*12),IF(AND(B262&lt;=Simulation!$F$12,Simulation!$F$11="Amortissable différé total"),0,C261*Simulation!$F$8/12),0)</f>
        <v>0</v>
      </c>
      <c r="F262" s="114">
        <f>IF(B262&lt;=MIN(Simulation!$F$10*12+Simulation!$F$12*OR(Simulation!$F$11="Amortissable différé partiel",Simulation!$F$11="Amortissable différé total"),Simulation!$F$24*12),Simulation!$E$33*Simulation!$F$9/12,0)</f>
        <v>0</v>
      </c>
      <c r="G262" s="115">
        <f>IF(B262&lt;=MIN(Simulation!$F$10*12+Simulation!$F$12*OR(Simulation!$F$11="Amortissable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partiel",IF(B262&lt;=Simulation!$F$12,Simulation!$E$33*Simulation!$F$8/12,PMT(Simulation!$F$8/12,Simulation!$F$10*12,-Simulation!$E$34)),IF(Simulation!$F$11="Amortissable différé total",IF(B262&lt;=Simulation!$F$12,0,PMT(Simulation!$F$8/12,Simulation!$F$10*12,-Simulation!$E$34)),IF(Simulation!$F$11="In fine",IF(B262=Simulation!$F$10*12,Simulation!$E$34,Simulation!$F$8*Simulation!$E$34/12),0)))),0)</f>
        <v>0</v>
      </c>
      <c r="H262" s="113">
        <f>Simulation!$C$16/12*(1+Simulation!$F$15)^INT((B262-1)/12)*(B262&lt;=Simulation!$F$24*12)</f>
        <v>0</v>
      </c>
      <c r="I262" s="114">
        <f>(Simulation!$F$22-VLOOKUP(Simulation!$C$27,'Comparatif fiscal'!$B$8:$E$17,4,FALSE)-C262)*(B262=Simulation!$F$24*12)</f>
        <v>0</v>
      </c>
      <c r="J262" s="114">
        <f>(Simulation!$C$21+Simulation!$C$22)/12*(1+Simulation!$F$17)^INT((B262-1)/12)*(B262&lt;=Simulation!$F$24*12)</f>
        <v>0</v>
      </c>
      <c r="K262" s="114">
        <f>(H262*Simulation!$C$24+Simulation!$C$23/12*(1+Simulation!$F$15)^INT((B262-1)/12))*(B262&lt;=Simulation!$F$24*12)</f>
        <v>0</v>
      </c>
      <c r="L262" s="114">
        <f>Simulation!$C$19/12*(1+Simulation!$F$18)^INT((B262-1)/12)*(B262&lt;=Simulation!$F$24*12)</f>
        <v>0</v>
      </c>
      <c r="M262" s="114">
        <f>(Simulation!$C$20/12*(1+Simulation!$F$19)^INT((B262-1)/12)+F262)*(B262&lt;=Simulation!$F$24*12)</f>
        <v>0</v>
      </c>
      <c r="N262" s="114">
        <f ca="1">SUMIF('Détail fiscalité'!$B$8:$B$37,INT(B262/12),'Détail fiscalité'!$CI$8:$CI$37)/12+SUMIF('Détail fiscalité'!$B$8:$B$37,B262/12,'Détail fiscalité'!$CI$8:$CI$37)-SUMIF('Détail fiscalité'!$B$8:$B$37,B262/12-1,'Détail fiscalité'!$CI$8:$CI$37)</f>
        <v>0</v>
      </c>
      <c r="O262" s="116">
        <f t="shared" ca="1" si="22"/>
        <v>0</v>
      </c>
    </row>
    <row r="263" spans="2:15" x14ac:dyDescent="0.15">
      <c r="B263" s="40">
        <f t="shared" si="21"/>
        <v>256</v>
      </c>
      <c r="C263" s="113">
        <f>IF(B263&lt;=MIN(Simulation!$F$10*12+Simulation!$F$12*OR(Simulation!$F$11="Amortissable différé partiel",Simulation!$F$11="Amortissable différé total"),Simulation!$F$24*12),IF(AND(B263&lt;=Simulation!$F$12,OR(Simulation!$F$11="Amortissable différé partiel",Simulation!$F$11="Amortissable différé total")),C262*(1+(Simulation!$F$11="Amortissable différé total")*Simulation!$F$8/12),C262-D263),0)</f>
        <v>0</v>
      </c>
      <c r="D263" s="114">
        <f>IF(B263&lt;=MIN(Simulation!$F$10*12+Simulation!$F$12*OR(Simulation!$F$11="Amortissable différé partiel",Simulation!$F$11="Amortissable différé total"),Simulation!$F$24*12),G263-E263,0)</f>
        <v>0</v>
      </c>
      <c r="E263" s="114">
        <f>IF(B263&lt;=MIN(Simulation!$F$10*12+Simulation!$F$12*OR(Simulation!$F$11="Amortissable différé partiel",Simulation!$F$11="Amortissable différé total"),Simulation!$F$24*12),IF(AND(B263&lt;=Simulation!$F$12,Simulation!$F$11="Amortissable différé total"),0,C262*Simulation!$F$8/12),0)</f>
        <v>0</v>
      </c>
      <c r="F263" s="114">
        <f>IF(B263&lt;=MIN(Simulation!$F$10*12+Simulation!$F$12*OR(Simulation!$F$11="Amortissable différé partiel",Simulation!$F$11="Amortissable différé total"),Simulation!$F$24*12),Simulation!$E$33*Simulation!$F$9/12,0)</f>
        <v>0</v>
      </c>
      <c r="G263" s="115">
        <f>IF(B263&lt;=MIN(Simulation!$F$10*12+Simulation!$F$12*OR(Simulation!$F$11="Amortissable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partiel",IF(B263&lt;=Simulation!$F$12,Simulation!$E$33*Simulation!$F$8/12,PMT(Simulation!$F$8/12,Simulation!$F$10*12,-Simulation!$E$34)),IF(Simulation!$F$11="Amortissable différé total",IF(B263&lt;=Simulation!$F$12,0,PMT(Simulation!$F$8/12,Simulation!$F$10*12,-Simulation!$E$34)),IF(Simulation!$F$11="In fine",IF(B263=Simulation!$F$10*12,Simulation!$E$34,Simulation!$F$8*Simulation!$E$34/12),0)))),0)</f>
        <v>0</v>
      </c>
      <c r="H263" s="113">
        <f>Simulation!$C$16/12*(1+Simulation!$F$15)^INT((B263-1)/12)*(B263&lt;=Simulation!$F$24*12)</f>
        <v>0</v>
      </c>
      <c r="I263" s="114">
        <f>(Simulation!$F$22-VLOOKUP(Simulation!$C$27,'Comparatif fiscal'!$B$8:$E$17,4,FALSE)-C263)*(B263=Simulation!$F$24*12)</f>
        <v>0</v>
      </c>
      <c r="J263" s="114">
        <f>(Simulation!$C$21+Simulation!$C$22)/12*(1+Simulation!$F$17)^INT((B263-1)/12)*(B263&lt;=Simulation!$F$24*12)</f>
        <v>0</v>
      </c>
      <c r="K263" s="114">
        <f>(H263*Simulation!$C$24+Simulation!$C$23/12*(1+Simulation!$F$15)^INT((B263-1)/12))*(B263&lt;=Simulation!$F$24*12)</f>
        <v>0</v>
      </c>
      <c r="L263" s="114">
        <f>Simulation!$C$19/12*(1+Simulation!$F$18)^INT((B263-1)/12)*(B263&lt;=Simulation!$F$24*12)</f>
        <v>0</v>
      </c>
      <c r="M263" s="114">
        <f>(Simulation!$C$20/12*(1+Simulation!$F$19)^INT((B263-1)/12)+F263)*(B263&lt;=Simulation!$F$24*12)</f>
        <v>0</v>
      </c>
      <c r="N263" s="114">
        <f ca="1">SUMIF('Détail fiscalité'!$B$8:$B$37,INT(B263/12),'Détail fiscalité'!$CI$8:$CI$37)/12+SUMIF('Détail fiscalité'!$B$8:$B$37,B263/12,'Détail fiscalité'!$CI$8:$CI$37)-SUMIF('Détail fiscalité'!$B$8:$B$37,B263/12-1,'Détail fiscalité'!$CI$8:$CI$37)</f>
        <v>0</v>
      </c>
      <c r="O263" s="116">
        <f t="shared" ca="1" si="22"/>
        <v>0</v>
      </c>
    </row>
    <row r="264" spans="2:15" x14ac:dyDescent="0.15">
      <c r="B264" s="40">
        <f t="shared" ref="B264:B327" si="23">B263+1</f>
        <v>257</v>
      </c>
      <c r="C264" s="113">
        <f>IF(B264&lt;=MIN(Simulation!$F$10*12+Simulation!$F$12*OR(Simulation!$F$11="Amortissable différé partiel",Simulation!$F$11="Amortissable différé total"),Simulation!$F$24*12),IF(AND(B264&lt;=Simulation!$F$12,OR(Simulation!$F$11="Amortissable différé partiel",Simulation!$F$11="Amortissable différé total")),C263*(1+(Simulation!$F$11="Amortissable différé total")*Simulation!$F$8/12),C263-D264),0)</f>
        <v>0</v>
      </c>
      <c r="D264" s="114">
        <f>IF(B264&lt;=MIN(Simulation!$F$10*12+Simulation!$F$12*OR(Simulation!$F$11="Amortissable différé partiel",Simulation!$F$11="Amortissable différé total"),Simulation!$F$24*12),G264-E264,0)</f>
        <v>0</v>
      </c>
      <c r="E264" s="114">
        <f>IF(B264&lt;=MIN(Simulation!$F$10*12+Simulation!$F$12*OR(Simulation!$F$11="Amortissable différé partiel",Simulation!$F$11="Amortissable différé total"),Simulation!$F$24*12),IF(AND(B264&lt;=Simulation!$F$12,Simulation!$F$11="Amortissable différé total"),0,C263*Simulation!$F$8/12),0)</f>
        <v>0</v>
      </c>
      <c r="F264" s="114">
        <f>IF(B264&lt;=MIN(Simulation!$F$10*12+Simulation!$F$12*OR(Simulation!$F$11="Amortissable différé partiel",Simulation!$F$11="Amortissable différé total"),Simulation!$F$24*12),Simulation!$E$33*Simulation!$F$9/12,0)</f>
        <v>0</v>
      </c>
      <c r="G264" s="115">
        <f>IF(B264&lt;=MIN(Simulation!$F$10*12+Simulation!$F$12*OR(Simulation!$F$11="Amortissable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partiel",IF(B264&lt;=Simulation!$F$12,Simulation!$E$33*Simulation!$F$8/12,PMT(Simulation!$F$8/12,Simulation!$F$10*12,-Simulation!$E$34)),IF(Simulation!$F$11="Amortissable différé total",IF(B264&lt;=Simulation!$F$12,0,PMT(Simulation!$F$8/12,Simulation!$F$10*12,-Simulation!$E$34)),IF(Simulation!$F$11="In fine",IF(B264=Simulation!$F$10*12,Simulation!$E$34,Simulation!$F$8*Simulation!$E$34/12),0)))),0)</f>
        <v>0</v>
      </c>
      <c r="H264" s="113">
        <f>Simulation!$C$16/12*(1+Simulation!$F$15)^INT((B264-1)/12)*(B264&lt;=Simulation!$F$24*12)</f>
        <v>0</v>
      </c>
      <c r="I264" s="114">
        <f>(Simulation!$F$22-VLOOKUP(Simulation!$C$27,'Comparatif fiscal'!$B$8:$E$17,4,FALSE)-C264)*(B264=Simulation!$F$24*12)</f>
        <v>0</v>
      </c>
      <c r="J264" s="114">
        <f>(Simulation!$C$21+Simulation!$C$22)/12*(1+Simulation!$F$17)^INT((B264-1)/12)*(B264&lt;=Simulation!$F$24*12)</f>
        <v>0</v>
      </c>
      <c r="K264" s="114">
        <f>(H264*Simulation!$C$24+Simulation!$C$23/12*(1+Simulation!$F$15)^INT((B264-1)/12))*(B264&lt;=Simulation!$F$24*12)</f>
        <v>0</v>
      </c>
      <c r="L264" s="114">
        <f>Simulation!$C$19/12*(1+Simulation!$F$18)^INT((B264-1)/12)*(B264&lt;=Simulation!$F$24*12)</f>
        <v>0</v>
      </c>
      <c r="M264" s="114">
        <f>(Simulation!$C$20/12*(1+Simulation!$F$19)^INT((B264-1)/12)+F264)*(B264&lt;=Simulation!$F$24*12)</f>
        <v>0</v>
      </c>
      <c r="N264" s="114">
        <f ca="1">SUMIF('Détail fiscalité'!$B$8:$B$37,INT(B264/12),'Détail fiscalité'!$CI$8:$CI$37)/12+SUMIF('Détail fiscalité'!$B$8:$B$37,B264/12,'Détail fiscalité'!$CI$8:$CI$37)-SUMIF('Détail fiscalité'!$B$8:$B$37,B264/12-1,'Détail fiscalité'!$CI$8:$CI$37)</f>
        <v>0</v>
      </c>
      <c r="O264" s="116">
        <f t="shared" ca="1" si="22"/>
        <v>0</v>
      </c>
    </row>
    <row r="265" spans="2:15" x14ac:dyDescent="0.15">
      <c r="B265" s="40">
        <f t="shared" si="23"/>
        <v>258</v>
      </c>
      <c r="C265" s="113">
        <f>IF(B265&lt;=MIN(Simulation!$F$10*12+Simulation!$F$12*OR(Simulation!$F$11="Amortissable différé partiel",Simulation!$F$11="Amortissable différé total"),Simulation!$F$24*12),IF(AND(B265&lt;=Simulation!$F$12,OR(Simulation!$F$11="Amortissable différé partiel",Simulation!$F$11="Amortissable différé total")),C264*(1+(Simulation!$F$11="Amortissable différé total")*Simulation!$F$8/12),C264-D265),0)</f>
        <v>0</v>
      </c>
      <c r="D265" s="114">
        <f>IF(B265&lt;=MIN(Simulation!$F$10*12+Simulation!$F$12*OR(Simulation!$F$11="Amortissable différé partiel",Simulation!$F$11="Amortissable différé total"),Simulation!$F$24*12),G265-E265,0)</f>
        <v>0</v>
      </c>
      <c r="E265" s="114">
        <f>IF(B265&lt;=MIN(Simulation!$F$10*12+Simulation!$F$12*OR(Simulation!$F$11="Amortissable différé partiel",Simulation!$F$11="Amortissable différé total"),Simulation!$F$24*12),IF(AND(B265&lt;=Simulation!$F$12,Simulation!$F$11="Amortissable différé total"),0,C264*Simulation!$F$8/12),0)</f>
        <v>0</v>
      </c>
      <c r="F265" s="114">
        <f>IF(B265&lt;=MIN(Simulation!$F$10*12+Simulation!$F$12*OR(Simulation!$F$11="Amortissable différé partiel",Simulation!$F$11="Amortissable différé total"),Simulation!$F$24*12),Simulation!$E$33*Simulation!$F$9/12,0)</f>
        <v>0</v>
      </c>
      <c r="G265" s="115">
        <f>IF(B265&lt;=MIN(Simulation!$F$10*12+Simulation!$F$12*OR(Simulation!$F$11="Amortissable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partiel",IF(B265&lt;=Simulation!$F$12,Simulation!$E$33*Simulation!$F$8/12,PMT(Simulation!$F$8/12,Simulation!$F$10*12,-Simulation!$E$34)),IF(Simulation!$F$11="Amortissable différé total",IF(B265&lt;=Simulation!$F$12,0,PMT(Simulation!$F$8/12,Simulation!$F$10*12,-Simulation!$E$34)),IF(Simulation!$F$11="In fine",IF(B265=Simulation!$F$10*12,Simulation!$E$34,Simulation!$F$8*Simulation!$E$34/12),0)))),0)</f>
        <v>0</v>
      </c>
      <c r="H265" s="113">
        <f>Simulation!$C$16/12*(1+Simulation!$F$15)^INT((B265-1)/12)*(B265&lt;=Simulation!$F$24*12)</f>
        <v>0</v>
      </c>
      <c r="I265" s="114">
        <f>(Simulation!$F$22-VLOOKUP(Simulation!$C$27,'Comparatif fiscal'!$B$8:$E$17,4,FALSE)-C265)*(B265=Simulation!$F$24*12)</f>
        <v>0</v>
      </c>
      <c r="J265" s="114">
        <f>(Simulation!$C$21+Simulation!$C$22)/12*(1+Simulation!$F$17)^INT((B265-1)/12)*(B265&lt;=Simulation!$F$24*12)</f>
        <v>0</v>
      </c>
      <c r="K265" s="114">
        <f>(H265*Simulation!$C$24+Simulation!$C$23/12*(1+Simulation!$F$15)^INT((B265-1)/12))*(B265&lt;=Simulation!$F$24*12)</f>
        <v>0</v>
      </c>
      <c r="L265" s="114">
        <f>Simulation!$C$19/12*(1+Simulation!$F$18)^INT((B265-1)/12)*(B265&lt;=Simulation!$F$24*12)</f>
        <v>0</v>
      </c>
      <c r="M265" s="114">
        <f>(Simulation!$C$20/12*(1+Simulation!$F$19)^INT((B265-1)/12)+F265)*(B265&lt;=Simulation!$F$24*12)</f>
        <v>0</v>
      </c>
      <c r="N265" s="114">
        <f ca="1">SUMIF('Détail fiscalité'!$B$8:$B$37,INT(B265/12),'Détail fiscalité'!$CI$8:$CI$37)/12+SUMIF('Détail fiscalité'!$B$8:$B$37,B265/12,'Détail fiscalité'!$CI$8:$CI$37)-SUMIF('Détail fiscalité'!$B$8:$B$37,B265/12-1,'Détail fiscalité'!$CI$8:$CI$37)</f>
        <v>0</v>
      </c>
      <c r="O265" s="116">
        <f t="shared" ref="O265:O328" ca="1" si="24">SUM(H265:I265)-SUM(G265,J265:N265)</f>
        <v>0</v>
      </c>
    </row>
    <row r="266" spans="2:15" x14ac:dyDescent="0.15">
      <c r="B266" s="40">
        <f t="shared" si="23"/>
        <v>259</v>
      </c>
      <c r="C266" s="113">
        <f>IF(B266&lt;=MIN(Simulation!$F$10*12+Simulation!$F$12*OR(Simulation!$F$11="Amortissable différé partiel",Simulation!$F$11="Amortissable différé total"),Simulation!$F$24*12),IF(AND(B266&lt;=Simulation!$F$12,OR(Simulation!$F$11="Amortissable différé partiel",Simulation!$F$11="Amortissable différé total")),C265*(1+(Simulation!$F$11="Amortissable différé total")*Simulation!$F$8/12),C265-D266),0)</f>
        <v>0</v>
      </c>
      <c r="D266" s="114">
        <f>IF(B266&lt;=MIN(Simulation!$F$10*12+Simulation!$F$12*OR(Simulation!$F$11="Amortissable différé partiel",Simulation!$F$11="Amortissable différé total"),Simulation!$F$24*12),G266-E266,0)</f>
        <v>0</v>
      </c>
      <c r="E266" s="114">
        <f>IF(B266&lt;=MIN(Simulation!$F$10*12+Simulation!$F$12*OR(Simulation!$F$11="Amortissable différé partiel",Simulation!$F$11="Amortissable différé total"),Simulation!$F$24*12),IF(AND(B266&lt;=Simulation!$F$12,Simulation!$F$11="Amortissable différé total"),0,C265*Simulation!$F$8/12),0)</f>
        <v>0</v>
      </c>
      <c r="F266" s="114">
        <f>IF(B266&lt;=MIN(Simulation!$F$10*12+Simulation!$F$12*OR(Simulation!$F$11="Amortissable différé partiel",Simulation!$F$11="Amortissable différé total"),Simulation!$F$24*12),Simulation!$E$33*Simulation!$F$9/12,0)</f>
        <v>0</v>
      </c>
      <c r="G266" s="115">
        <f>IF(B266&lt;=MIN(Simulation!$F$10*12+Simulation!$F$12*OR(Simulation!$F$11="Amortissable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partiel",IF(B266&lt;=Simulation!$F$12,Simulation!$E$33*Simulation!$F$8/12,PMT(Simulation!$F$8/12,Simulation!$F$10*12,-Simulation!$E$34)),IF(Simulation!$F$11="Amortissable différé total",IF(B266&lt;=Simulation!$F$12,0,PMT(Simulation!$F$8/12,Simulation!$F$10*12,-Simulation!$E$34)),IF(Simulation!$F$11="In fine",IF(B266=Simulation!$F$10*12,Simulation!$E$34,Simulation!$F$8*Simulation!$E$34/12),0)))),0)</f>
        <v>0</v>
      </c>
      <c r="H266" s="113">
        <f>Simulation!$C$16/12*(1+Simulation!$F$15)^INT((B266-1)/12)*(B266&lt;=Simulation!$F$24*12)</f>
        <v>0</v>
      </c>
      <c r="I266" s="114">
        <f>(Simulation!$F$22-VLOOKUP(Simulation!$C$27,'Comparatif fiscal'!$B$8:$E$17,4,FALSE)-C266)*(B266=Simulation!$F$24*12)</f>
        <v>0</v>
      </c>
      <c r="J266" s="114">
        <f>(Simulation!$C$21+Simulation!$C$22)/12*(1+Simulation!$F$17)^INT((B266-1)/12)*(B266&lt;=Simulation!$F$24*12)</f>
        <v>0</v>
      </c>
      <c r="K266" s="114">
        <f>(H266*Simulation!$C$24+Simulation!$C$23/12*(1+Simulation!$F$15)^INT((B266-1)/12))*(B266&lt;=Simulation!$F$24*12)</f>
        <v>0</v>
      </c>
      <c r="L266" s="114">
        <f>Simulation!$C$19/12*(1+Simulation!$F$18)^INT((B266-1)/12)*(B266&lt;=Simulation!$F$24*12)</f>
        <v>0</v>
      </c>
      <c r="M266" s="114">
        <f>(Simulation!$C$20/12*(1+Simulation!$F$19)^INT((B266-1)/12)+F266)*(B266&lt;=Simulation!$F$24*12)</f>
        <v>0</v>
      </c>
      <c r="N266" s="114">
        <f ca="1">SUMIF('Détail fiscalité'!$B$8:$B$37,INT(B266/12),'Détail fiscalité'!$CI$8:$CI$37)/12+SUMIF('Détail fiscalité'!$B$8:$B$37,B266/12,'Détail fiscalité'!$CI$8:$CI$37)-SUMIF('Détail fiscalité'!$B$8:$B$37,B266/12-1,'Détail fiscalité'!$CI$8:$CI$37)</f>
        <v>0</v>
      </c>
      <c r="O266" s="116">
        <f t="shared" ca="1" si="24"/>
        <v>0</v>
      </c>
    </row>
    <row r="267" spans="2:15" x14ac:dyDescent="0.15">
      <c r="B267" s="40">
        <f t="shared" si="23"/>
        <v>260</v>
      </c>
      <c r="C267" s="113">
        <f>IF(B267&lt;=MIN(Simulation!$F$10*12+Simulation!$F$12*OR(Simulation!$F$11="Amortissable différé partiel",Simulation!$F$11="Amortissable différé total"),Simulation!$F$24*12),IF(AND(B267&lt;=Simulation!$F$12,OR(Simulation!$F$11="Amortissable différé partiel",Simulation!$F$11="Amortissable différé total")),C266*(1+(Simulation!$F$11="Amortissable différé total")*Simulation!$F$8/12),C266-D267),0)</f>
        <v>0</v>
      </c>
      <c r="D267" s="114">
        <f>IF(B267&lt;=MIN(Simulation!$F$10*12+Simulation!$F$12*OR(Simulation!$F$11="Amortissable différé partiel",Simulation!$F$11="Amortissable différé total"),Simulation!$F$24*12),G267-E267,0)</f>
        <v>0</v>
      </c>
      <c r="E267" s="114">
        <f>IF(B267&lt;=MIN(Simulation!$F$10*12+Simulation!$F$12*OR(Simulation!$F$11="Amortissable différé partiel",Simulation!$F$11="Amortissable différé total"),Simulation!$F$24*12),IF(AND(B267&lt;=Simulation!$F$12,Simulation!$F$11="Amortissable différé total"),0,C266*Simulation!$F$8/12),0)</f>
        <v>0</v>
      </c>
      <c r="F267" s="114">
        <f>IF(B267&lt;=MIN(Simulation!$F$10*12+Simulation!$F$12*OR(Simulation!$F$11="Amortissable différé partiel",Simulation!$F$11="Amortissable différé total"),Simulation!$F$24*12),Simulation!$E$33*Simulation!$F$9/12,0)</f>
        <v>0</v>
      </c>
      <c r="G267" s="115">
        <f>IF(B267&lt;=MIN(Simulation!$F$10*12+Simulation!$F$12*OR(Simulation!$F$11="Amortissable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partiel",IF(B267&lt;=Simulation!$F$12,Simulation!$E$33*Simulation!$F$8/12,PMT(Simulation!$F$8/12,Simulation!$F$10*12,-Simulation!$E$34)),IF(Simulation!$F$11="Amortissable différé total",IF(B267&lt;=Simulation!$F$12,0,PMT(Simulation!$F$8/12,Simulation!$F$10*12,-Simulation!$E$34)),IF(Simulation!$F$11="In fine",IF(B267=Simulation!$F$10*12,Simulation!$E$34,Simulation!$F$8*Simulation!$E$34/12),0)))),0)</f>
        <v>0</v>
      </c>
      <c r="H267" s="113">
        <f>Simulation!$C$16/12*(1+Simulation!$F$15)^INT((B267-1)/12)*(B267&lt;=Simulation!$F$24*12)</f>
        <v>0</v>
      </c>
      <c r="I267" s="114">
        <f>(Simulation!$F$22-VLOOKUP(Simulation!$C$27,'Comparatif fiscal'!$B$8:$E$17,4,FALSE)-C267)*(B267=Simulation!$F$24*12)</f>
        <v>0</v>
      </c>
      <c r="J267" s="114">
        <f>(Simulation!$C$21+Simulation!$C$22)/12*(1+Simulation!$F$17)^INT((B267-1)/12)*(B267&lt;=Simulation!$F$24*12)</f>
        <v>0</v>
      </c>
      <c r="K267" s="114">
        <f>(H267*Simulation!$C$24+Simulation!$C$23/12*(1+Simulation!$F$15)^INT((B267-1)/12))*(B267&lt;=Simulation!$F$24*12)</f>
        <v>0</v>
      </c>
      <c r="L267" s="114">
        <f>Simulation!$C$19/12*(1+Simulation!$F$18)^INT((B267-1)/12)*(B267&lt;=Simulation!$F$24*12)</f>
        <v>0</v>
      </c>
      <c r="M267" s="114">
        <f>(Simulation!$C$20/12*(1+Simulation!$F$19)^INT((B267-1)/12)+F267)*(B267&lt;=Simulation!$F$24*12)</f>
        <v>0</v>
      </c>
      <c r="N267" s="114">
        <f ca="1">SUMIF('Détail fiscalité'!$B$8:$B$37,INT(B267/12),'Détail fiscalité'!$CI$8:$CI$37)/12+SUMIF('Détail fiscalité'!$B$8:$B$37,B267/12,'Détail fiscalité'!$CI$8:$CI$37)-SUMIF('Détail fiscalité'!$B$8:$B$37,B267/12-1,'Détail fiscalité'!$CI$8:$CI$37)</f>
        <v>0</v>
      </c>
      <c r="O267" s="116">
        <f t="shared" ca="1" si="24"/>
        <v>0</v>
      </c>
    </row>
    <row r="268" spans="2:15" x14ac:dyDescent="0.15">
      <c r="B268" s="40">
        <f t="shared" si="23"/>
        <v>261</v>
      </c>
      <c r="C268" s="113">
        <f>IF(B268&lt;=MIN(Simulation!$F$10*12+Simulation!$F$12*OR(Simulation!$F$11="Amortissable différé partiel",Simulation!$F$11="Amortissable différé total"),Simulation!$F$24*12),IF(AND(B268&lt;=Simulation!$F$12,OR(Simulation!$F$11="Amortissable différé partiel",Simulation!$F$11="Amortissable différé total")),C267*(1+(Simulation!$F$11="Amortissable différé total")*Simulation!$F$8/12),C267-D268),0)</f>
        <v>0</v>
      </c>
      <c r="D268" s="114">
        <f>IF(B268&lt;=MIN(Simulation!$F$10*12+Simulation!$F$12*OR(Simulation!$F$11="Amortissable différé partiel",Simulation!$F$11="Amortissable différé total"),Simulation!$F$24*12),G268-E268,0)</f>
        <v>0</v>
      </c>
      <c r="E268" s="114">
        <f>IF(B268&lt;=MIN(Simulation!$F$10*12+Simulation!$F$12*OR(Simulation!$F$11="Amortissable différé partiel",Simulation!$F$11="Amortissable différé total"),Simulation!$F$24*12),IF(AND(B268&lt;=Simulation!$F$12,Simulation!$F$11="Amortissable différé total"),0,C267*Simulation!$F$8/12),0)</f>
        <v>0</v>
      </c>
      <c r="F268" s="114">
        <f>IF(B268&lt;=MIN(Simulation!$F$10*12+Simulation!$F$12*OR(Simulation!$F$11="Amortissable différé partiel",Simulation!$F$11="Amortissable différé total"),Simulation!$F$24*12),Simulation!$E$33*Simulation!$F$9/12,0)</f>
        <v>0</v>
      </c>
      <c r="G268" s="115">
        <f>IF(B268&lt;=MIN(Simulation!$F$10*12+Simulation!$F$12*OR(Simulation!$F$11="Amortissable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partiel",IF(B268&lt;=Simulation!$F$12,Simulation!$E$33*Simulation!$F$8/12,PMT(Simulation!$F$8/12,Simulation!$F$10*12,-Simulation!$E$34)),IF(Simulation!$F$11="Amortissable différé total",IF(B268&lt;=Simulation!$F$12,0,PMT(Simulation!$F$8/12,Simulation!$F$10*12,-Simulation!$E$34)),IF(Simulation!$F$11="In fine",IF(B268=Simulation!$F$10*12,Simulation!$E$34,Simulation!$F$8*Simulation!$E$34/12),0)))),0)</f>
        <v>0</v>
      </c>
      <c r="H268" s="113">
        <f>Simulation!$C$16/12*(1+Simulation!$F$15)^INT((B268-1)/12)*(B268&lt;=Simulation!$F$24*12)</f>
        <v>0</v>
      </c>
      <c r="I268" s="114">
        <f>(Simulation!$F$22-VLOOKUP(Simulation!$C$27,'Comparatif fiscal'!$B$8:$E$17,4,FALSE)-C268)*(B268=Simulation!$F$24*12)</f>
        <v>0</v>
      </c>
      <c r="J268" s="114">
        <f>(Simulation!$C$21+Simulation!$C$22)/12*(1+Simulation!$F$17)^INT((B268-1)/12)*(B268&lt;=Simulation!$F$24*12)</f>
        <v>0</v>
      </c>
      <c r="K268" s="114">
        <f>(H268*Simulation!$C$24+Simulation!$C$23/12*(1+Simulation!$F$15)^INT((B268-1)/12))*(B268&lt;=Simulation!$F$24*12)</f>
        <v>0</v>
      </c>
      <c r="L268" s="114">
        <f>Simulation!$C$19/12*(1+Simulation!$F$18)^INT((B268-1)/12)*(B268&lt;=Simulation!$F$24*12)</f>
        <v>0</v>
      </c>
      <c r="M268" s="114">
        <f>(Simulation!$C$20/12*(1+Simulation!$F$19)^INT((B268-1)/12)+F268)*(B268&lt;=Simulation!$F$24*12)</f>
        <v>0</v>
      </c>
      <c r="N268" s="114">
        <f ca="1">SUMIF('Détail fiscalité'!$B$8:$B$37,INT(B268/12),'Détail fiscalité'!$CI$8:$CI$37)/12+SUMIF('Détail fiscalité'!$B$8:$B$37,B268/12,'Détail fiscalité'!$CI$8:$CI$37)-SUMIF('Détail fiscalité'!$B$8:$B$37,B268/12-1,'Détail fiscalité'!$CI$8:$CI$37)</f>
        <v>0</v>
      </c>
      <c r="O268" s="116">
        <f t="shared" ca="1" si="24"/>
        <v>0</v>
      </c>
    </row>
    <row r="269" spans="2:15" x14ac:dyDescent="0.15">
      <c r="B269" s="40">
        <f t="shared" si="23"/>
        <v>262</v>
      </c>
      <c r="C269" s="113">
        <f>IF(B269&lt;=MIN(Simulation!$F$10*12+Simulation!$F$12*OR(Simulation!$F$11="Amortissable différé partiel",Simulation!$F$11="Amortissable différé total"),Simulation!$F$24*12),IF(AND(B269&lt;=Simulation!$F$12,OR(Simulation!$F$11="Amortissable différé partiel",Simulation!$F$11="Amortissable différé total")),C268*(1+(Simulation!$F$11="Amortissable différé total")*Simulation!$F$8/12),C268-D269),0)</f>
        <v>0</v>
      </c>
      <c r="D269" s="114">
        <f>IF(B269&lt;=MIN(Simulation!$F$10*12+Simulation!$F$12*OR(Simulation!$F$11="Amortissable différé partiel",Simulation!$F$11="Amortissable différé total"),Simulation!$F$24*12),G269-E269,0)</f>
        <v>0</v>
      </c>
      <c r="E269" s="114">
        <f>IF(B269&lt;=MIN(Simulation!$F$10*12+Simulation!$F$12*OR(Simulation!$F$11="Amortissable différé partiel",Simulation!$F$11="Amortissable différé total"),Simulation!$F$24*12),IF(AND(B269&lt;=Simulation!$F$12,Simulation!$F$11="Amortissable différé total"),0,C268*Simulation!$F$8/12),0)</f>
        <v>0</v>
      </c>
      <c r="F269" s="114">
        <f>IF(B269&lt;=MIN(Simulation!$F$10*12+Simulation!$F$12*OR(Simulation!$F$11="Amortissable différé partiel",Simulation!$F$11="Amortissable différé total"),Simulation!$F$24*12),Simulation!$E$33*Simulation!$F$9/12,0)</f>
        <v>0</v>
      </c>
      <c r="G269" s="115">
        <f>IF(B269&lt;=MIN(Simulation!$F$10*12+Simulation!$F$12*OR(Simulation!$F$11="Amortissable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partiel",IF(B269&lt;=Simulation!$F$12,Simulation!$E$33*Simulation!$F$8/12,PMT(Simulation!$F$8/12,Simulation!$F$10*12,-Simulation!$E$34)),IF(Simulation!$F$11="Amortissable différé total",IF(B269&lt;=Simulation!$F$12,0,PMT(Simulation!$F$8/12,Simulation!$F$10*12,-Simulation!$E$34)),IF(Simulation!$F$11="In fine",IF(B269=Simulation!$F$10*12,Simulation!$E$34,Simulation!$F$8*Simulation!$E$34/12),0)))),0)</f>
        <v>0</v>
      </c>
      <c r="H269" s="113">
        <f>Simulation!$C$16/12*(1+Simulation!$F$15)^INT((B269-1)/12)*(B269&lt;=Simulation!$F$24*12)</f>
        <v>0</v>
      </c>
      <c r="I269" s="114">
        <f>(Simulation!$F$22-VLOOKUP(Simulation!$C$27,'Comparatif fiscal'!$B$8:$E$17,4,FALSE)-C269)*(B269=Simulation!$F$24*12)</f>
        <v>0</v>
      </c>
      <c r="J269" s="114">
        <f>(Simulation!$C$21+Simulation!$C$22)/12*(1+Simulation!$F$17)^INT((B269-1)/12)*(B269&lt;=Simulation!$F$24*12)</f>
        <v>0</v>
      </c>
      <c r="K269" s="114">
        <f>(H269*Simulation!$C$24+Simulation!$C$23/12*(1+Simulation!$F$15)^INT((B269-1)/12))*(B269&lt;=Simulation!$F$24*12)</f>
        <v>0</v>
      </c>
      <c r="L269" s="114">
        <f>Simulation!$C$19/12*(1+Simulation!$F$18)^INT((B269-1)/12)*(B269&lt;=Simulation!$F$24*12)</f>
        <v>0</v>
      </c>
      <c r="M269" s="114">
        <f>(Simulation!$C$20/12*(1+Simulation!$F$19)^INT((B269-1)/12)+F269)*(B269&lt;=Simulation!$F$24*12)</f>
        <v>0</v>
      </c>
      <c r="N269" s="114">
        <f ca="1">SUMIF('Détail fiscalité'!$B$8:$B$37,INT(B269/12),'Détail fiscalité'!$CI$8:$CI$37)/12+SUMIF('Détail fiscalité'!$B$8:$B$37,B269/12,'Détail fiscalité'!$CI$8:$CI$37)-SUMIF('Détail fiscalité'!$B$8:$B$37,B269/12-1,'Détail fiscalité'!$CI$8:$CI$37)</f>
        <v>0</v>
      </c>
      <c r="O269" s="116">
        <f t="shared" ca="1" si="24"/>
        <v>0</v>
      </c>
    </row>
    <row r="270" spans="2:15" x14ac:dyDescent="0.15">
      <c r="B270" s="40">
        <f t="shared" si="23"/>
        <v>263</v>
      </c>
      <c r="C270" s="113">
        <f>IF(B270&lt;=MIN(Simulation!$F$10*12+Simulation!$F$12*OR(Simulation!$F$11="Amortissable différé partiel",Simulation!$F$11="Amortissable différé total"),Simulation!$F$24*12),IF(AND(B270&lt;=Simulation!$F$12,OR(Simulation!$F$11="Amortissable différé partiel",Simulation!$F$11="Amortissable différé total")),C269*(1+(Simulation!$F$11="Amortissable différé total")*Simulation!$F$8/12),C269-D270),0)</f>
        <v>0</v>
      </c>
      <c r="D270" s="114">
        <f>IF(B270&lt;=MIN(Simulation!$F$10*12+Simulation!$F$12*OR(Simulation!$F$11="Amortissable différé partiel",Simulation!$F$11="Amortissable différé total"),Simulation!$F$24*12),G270-E270,0)</f>
        <v>0</v>
      </c>
      <c r="E270" s="114">
        <f>IF(B270&lt;=MIN(Simulation!$F$10*12+Simulation!$F$12*OR(Simulation!$F$11="Amortissable différé partiel",Simulation!$F$11="Amortissable différé total"),Simulation!$F$24*12),IF(AND(B270&lt;=Simulation!$F$12,Simulation!$F$11="Amortissable différé total"),0,C269*Simulation!$F$8/12),0)</f>
        <v>0</v>
      </c>
      <c r="F270" s="114">
        <f>IF(B270&lt;=MIN(Simulation!$F$10*12+Simulation!$F$12*OR(Simulation!$F$11="Amortissable différé partiel",Simulation!$F$11="Amortissable différé total"),Simulation!$F$24*12),Simulation!$E$33*Simulation!$F$9/12,0)</f>
        <v>0</v>
      </c>
      <c r="G270" s="115">
        <f>IF(B270&lt;=MIN(Simulation!$F$10*12+Simulation!$F$12*OR(Simulation!$F$11="Amortissable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partiel",IF(B270&lt;=Simulation!$F$12,Simulation!$E$33*Simulation!$F$8/12,PMT(Simulation!$F$8/12,Simulation!$F$10*12,-Simulation!$E$34)),IF(Simulation!$F$11="Amortissable différé total",IF(B270&lt;=Simulation!$F$12,0,PMT(Simulation!$F$8/12,Simulation!$F$10*12,-Simulation!$E$34)),IF(Simulation!$F$11="In fine",IF(B270=Simulation!$F$10*12,Simulation!$E$34,Simulation!$F$8*Simulation!$E$34/12),0)))),0)</f>
        <v>0</v>
      </c>
      <c r="H270" s="113">
        <f>Simulation!$C$16/12*(1+Simulation!$F$15)^INT((B270-1)/12)*(B270&lt;=Simulation!$F$24*12)</f>
        <v>0</v>
      </c>
      <c r="I270" s="114">
        <f>(Simulation!$F$22-VLOOKUP(Simulation!$C$27,'Comparatif fiscal'!$B$8:$E$17,4,FALSE)-C270)*(B270=Simulation!$F$24*12)</f>
        <v>0</v>
      </c>
      <c r="J270" s="114">
        <f>(Simulation!$C$21+Simulation!$C$22)/12*(1+Simulation!$F$17)^INT((B270-1)/12)*(B270&lt;=Simulation!$F$24*12)</f>
        <v>0</v>
      </c>
      <c r="K270" s="114">
        <f>(H270*Simulation!$C$24+Simulation!$C$23/12*(1+Simulation!$F$15)^INT((B270-1)/12))*(B270&lt;=Simulation!$F$24*12)</f>
        <v>0</v>
      </c>
      <c r="L270" s="114">
        <f>Simulation!$C$19/12*(1+Simulation!$F$18)^INT((B270-1)/12)*(B270&lt;=Simulation!$F$24*12)</f>
        <v>0</v>
      </c>
      <c r="M270" s="114">
        <f>(Simulation!$C$20/12*(1+Simulation!$F$19)^INT((B270-1)/12)+F270)*(B270&lt;=Simulation!$F$24*12)</f>
        <v>0</v>
      </c>
      <c r="N270" s="114">
        <f ca="1">SUMIF('Détail fiscalité'!$B$8:$B$37,INT(B270/12),'Détail fiscalité'!$CI$8:$CI$37)/12+SUMIF('Détail fiscalité'!$B$8:$B$37,B270/12,'Détail fiscalité'!$CI$8:$CI$37)-SUMIF('Détail fiscalité'!$B$8:$B$37,B270/12-1,'Détail fiscalité'!$CI$8:$CI$37)</f>
        <v>0</v>
      </c>
      <c r="O270" s="116">
        <f t="shared" ca="1" si="24"/>
        <v>0</v>
      </c>
    </row>
    <row r="271" spans="2:15" x14ac:dyDescent="0.15">
      <c r="B271" s="40">
        <f t="shared" si="23"/>
        <v>264</v>
      </c>
      <c r="C271" s="113">
        <f>IF(B271&lt;=MIN(Simulation!$F$10*12+Simulation!$F$12*OR(Simulation!$F$11="Amortissable différé partiel",Simulation!$F$11="Amortissable différé total"),Simulation!$F$24*12),IF(AND(B271&lt;=Simulation!$F$12,OR(Simulation!$F$11="Amortissable différé partiel",Simulation!$F$11="Amortissable différé total")),C270*(1+(Simulation!$F$11="Amortissable différé total")*Simulation!$F$8/12),C270-D271),0)</f>
        <v>0</v>
      </c>
      <c r="D271" s="114">
        <f>IF(B271&lt;=MIN(Simulation!$F$10*12+Simulation!$F$12*OR(Simulation!$F$11="Amortissable différé partiel",Simulation!$F$11="Amortissable différé total"),Simulation!$F$24*12),G271-E271,0)</f>
        <v>0</v>
      </c>
      <c r="E271" s="114">
        <f>IF(B271&lt;=MIN(Simulation!$F$10*12+Simulation!$F$12*OR(Simulation!$F$11="Amortissable différé partiel",Simulation!$F$11="Amortissable différé total"),Simulation!$F$24*12),IF(AND(B271&lt;=Simulation!$F$12,Simulation!$F$11="Amortissable différé total"),0,C270*Simulation!$F$8/12),0)</f>
        <v>0</v>
      </c>
      <c r="F271" s="114">
        <f>IF(B271&lt;=MIN(Simulation!$F$10*12+Simulation!$F$12*OR(Simulation!$F$11="Amortissable différé partiel",Simulation!$F$11="Amortissable différé total"),Simulation!$F$24*12),Simulation!$E$33*Simulation!$F$9/12,0)</f>
        <v>0</v>
      </c>
      <c r="G271" s="115">
        <f>IF(B271&lt;=MIN(Simulation!$F$10*12+Simulation!$F$12*OR(Simulation!$F$11="Amortissable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partiel",IF(B271&lt;=Simulation!$F$12,Simulation!$E$33*Simulation!$F$8/12,PMT(Simulation!$F$8/12,Simulation!$F$10*12,-Simulation!$E$34)),IF(Simulation!$F$11="Amortissable différé total",IF(B271&lt;=Simulation!$F$12,0,PMT(Simulation!$F$8/12,Simulation!$F$10*12,-Simulation!$E$34)),IF(Simulation!$F$11="In fine",IF(B271=Simulation!$F$10*12,Simulation!$E$34,Simulation!$F$8*Simulation!$E$34/12),0)))),0)</f>
        <v>0</v>
      </c>
      <c r="H271" s="113">
        <f>Simulation!$C$16/12*(1+Simulation!$F$15)^INT((B271-1)/12)*(B271&lt;=Simulation!$F$24*12)</f>
        <v>0</v>
      </c>
      <c r="I271" s="114">
        <f>(Simulation!$F$22-VLOOKUP(Simulation!$C$27,'Comparatif fiscal'!$B$8:$E$17,4,FALSE)-C271)*(B271=Simulation!$F$24*12)</f>
        <v>0</v>
      </c>
      <c r="J271" s="114">
        <f>(Simulation!$C$21+Simulation!$C$22)/12*(1+Simulation!$F$17)^INT((B271-1)/12)*(B271&lt;=Simulation!$F$24*12)</f>
        <v>0</v>
      </c>
      <c r="K271" s="114">
        <f>(H271*Simulation!$C$24+Simulation!$C$23/12*(1+Simulation!$F$15)^INT((B271-1)/12))*(B271&lt;=Simulation!$F$24*12)</f>
        <v>0</v>
      </c>
      <c r="L271" s="114">
        <f>Simulation!$C$19/12*(1+Simulation!$F$18)^INT((B271-1)/12)*(B271&lt;=Simulation!$F$24*12)</f>
        <v>0</v>
      </c>
      <c r="M271" s="114">
        <f>(Simulation!$C$20/12*(1+Simulation!$F$19)^INT((B271-1)/12)+F271)*(B271&lt;=Simulation!$F$24*12)</f>
        <v>0</v>
      </c>
      <c r="N271" s="114">
        <f ca="1">SUMIF('Détail fiscalité'!$B$8:$B$37,INT(B271/12),'Détail fiscalité'!$CI$8:$CI$37)/12+SUMIF('Détail fiscalité'!$B$8:$B$37,B271/12,'Détail fiscalité'!$CI$8:$CI$37)-SUMIF('Détail fiscalité'!$B$8:$B$37,B271/12-1,'Détail fiscalité'!$CI$8:$CI$37)</f>
        <v>0</v>
      </c>
      <c r="O271" s="116">
        <f t="shared" ca="1" si="24"/>
        <v>0</v>
      </c>
    </row>
    <row r="272" spans="2:15" x14ac:dyDescent="0.15">
      <c r="B272" s="40">
        <f t="shared" si="23"/>
        <v>265</v>
      </c>
      <c r="C272" s="113">
        <f>IF(B272&lt;=MIN(Simulation!$F$10*12+Simulation!$F$12*OR(Simulation!$F$11="Amortissable différé partiel",Simulation!$F$11="Amortissable différé total"),Simulation!$F$24*12),IF(AND(B272&lt;=Simulation!$F$12,OR(Simulation!$F$11="Amortissable différé partiel",Simulation!$F$11="Amortissable différé total")),C271*(1+(Simulation!$F$11="Amortissable différé total")*Simulation!$F$8/12),C271-D272),0)</f>
        <v>0</v>
      </c>
      <c r="D272" s="114">
        <f>IF(B272&lt;=MIN(Simulation!$F$10*12+Simulation!$F$12*OR(Simulation!$F$11="Amortissable différé partiel",Simulation!$F$11="Amortissable différé total"),Simulation!$F$24*12),G272-E272,0)</f>
        <v>0</v>
      </c>
      <c r="E272" s="114">
        <f>IF(B272&lt;=MIN(Simulation!$F$10*12+Simulation!$F$12*OR(Simulation!$F$11="Amortissable différé partiel",Simulation!$F$11="Amortissable différé total"),Simulation!$F$24*12),IF(AND(B272&lt;=Simulation!$F$12,Simulation!$F$11="Amortissable différé total"),0,C271*Simulation!$F$8/12),0)</f>
        <v>0</v>
      </c>
      <c r="F272" s="114">
        <f>IF(B272&lt;=MIN(Simulation!$F$10*12+Simulation!$F$12*OR(Simulation!$F$11="Amortissable différé partiel",Simulation!$F$11="Amortissable différé total"),Simulation!$F$24*12),Simulation!$E$33*Simulation!$F$9/12,0)</f>
        <v>0</v>
      </c>
      <c r="G272" s="115">
        <f>IF(B272&lt;=MIN(Simulation!$F$10*12+Simulation!$F$12*OR(Simulation!$F$11="Amortissable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partiel",IF(B272&lt;=Simulation!$F$12,Simulation!$E$33*Simulation!$F$8/12,PMT(Simulation!$F$8/12,Simulation!$F$10*12,-Simulation!$E$34)),IF(Simulation!$F$11="Amortissable différé total",IF(B272&lt;=Simulation!$F$12,0,PMT(Simulation!$F$8/12,Simulation!$F$10*12,-Simulation!$E$34)),IF(Simulation!$F$11="In fine",IF(B272=Simulation!$F$10*12,Simulation!$E$34,Simulation!$F$8*Simulation!$E$34/12),0)))),0)</f>
        <v>0</v>
      </c>
      <c r="H272" s="113">
        <f>Simulation!$C$16/12*(1+Simulation!$F$15)^INT((B272-1)/12)*(B272&lt;=Simulation!$F$24*12)</f>
        <v>0</v>
      </c>
      <c r="I272" s="114">
        <f>(Simulation!$F$22-VLOOKUP(Simulation!$C$27,'Comparatif fiscal'!$B$8:$E$17,4,FALSE)-C272)*(B272=Simulation!$F$24*12)</f>
        <v>0</v>
      </c>
      <c r="J272" s="114">
        <f>(Simulation!$C$21+Simulation!$C$22)/12*(1+Simulation!$F$17)^INT((B272-1)/12)*(B272&lt;=Simulation!$F$24*12)</f>
        <v>0</v>
      </c>
      <c r="K272" s="114">
        <f>(H272*Simulation!$C$24+Simulation!$C$23/12*(1+Simulation!$F$15)^INT((B272-1)/12))*(B272&lt;=Simulation!$F$24*12)</f>
        <v>0</v>
      </c>
      <c r="L272" s="114">
        <f>Simulation!$C$19/12*(1+Simulation!$F$18)^INT((B272-1)/12)*(B272&lt;=Simulation!$F$24*12)</f>
        <v>0</v>
      </c>
      <c r="M272" s="114">
        <f>(Simulation!$C$20/12*(1+Simulation!$F$19)^INT((B272-1)/12)+F272)*(B272&lt;=Simulation!$F$24*12)</f>
        <v>0</v>
      </c>
      <c r="N272" s="114">
        <f ca="1">SUMIF('Détail fiscalité'!$B$8:$B$37,INT(B272/12),'Détail fiscalité'!$CI$8:$CI$37)/12+SUMIF('Détail fiscalité'!$B$8:$B$37,B272/12,'Détail fiscalité'!$CI$8:$CI$37)-SUMIF('Détail fiscalité'!$B$8:$B$37,B272/12-1,'Détail fiscalité'!$CI$8:$CI$37)</f>
        <v>0</v>
      </c>
      <c r="O272" s="116">
        <f t="shared" ca="1" si="24"/>
        <v>0</v>
      </c>
    </row>
    <row r="273" spans="2:15" x14ac:dyDescent="0.15">
      <c r="B273" s="40">
        <f t="shared" si="23"/>
        <v>266</v>
      </c>
      <c r="C273" s="113">
        <f>IF(B273&lt;=MIN(Simulation!$F$10*12+Simulation!$F$12*OR(Simulation!$F$11="Amortissable différé partiel",Simulation!$F$11="Amortissable différé total"),Simulation!$F$24*12),IF(AND(B273&lt;=Simulation!$F$12,OR(Simulation!$F$11="Amortissable différé partiel",Simulation!$F$11="Amortissable différé total")),C272*(1+(Simulation!$F$11="Amortissable différé total")*Simulation!$F$8/12),C272-D273),0)</f>
        <v>0</v>
      </c>
      <c r="D273" s="114">
        <f>IF(B273&lt;=MIN(Simulation!$F$10*12+Simulation!$F$12*OR(Simulation!$F$11="Amortissable différé partiel",Simulation!$F$11="Amortissable différé total"),Simulation!$F$24*12),G273-E273,0)</f>
        <v>0</v>
      </c>
      <c r="E273" s="114">
        <f>IF(B273&lt;=MIN(Simulation!$F$10*12+Simulation!$F$12*OR(Simulation!$F$11="Amortissable différé partiel",Simulation!$F$11="Amortissable différé total"),Simulation!$F$24*12),IF(AND(B273&lt;=Simulation!$F$12,Simulation!$F$11="Amortissable différé total"),0,C272*Simulation!$F$8/12),0)</f>
        <v>0</v>
      </c>
      <c r="F273" s="114">
        <f>IF(B273&lt;=MIN(Simulation!$F$10*12+Simulation!$F$12*OR(Simulation!$F$11="Amortissable différé partiel",Simulation!$F$11="Amortissable différé total"),Simulation!$F$24*12),Simulation!$E$33*Simulation!$F$9/12,0)</f>
        <v>0</v>
      </c>
      <c r="G273" s="115">
        <f>IF(B273&lt;=MIN(Simulation!$F$10*12+Simulation!$F$12*OR(Simulation!$F$11="Amortissable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partiel",IF(B273&lt;=Simulation!$F$12,Simulation!$E$33*Simulation!$F$8/12,PMT(Simulation!$F$8/12,Simulation!$F$10*12,-Simulation!$E$34)),IF(Simulation!$F$11="Amortissable différé total",IF(B273&lt;=Simulation!$F$12,0,PMT(Simulation!$F$8/12,Simulation!$F$10*12,-Simulation!$E$34)),IF(Simulation!$F$11="In fine",IF(B273=Simulation!$F$10*12,Simulation!$E$34,Simulation!$F$8*Simulation!$E$34/12),0)))),0)</f>
        <v>0</v>
      </c>
      <c r="H273" s="113">
        <f>Simulation!$C$16/12*(1+Simulation!$F$15)^INT((B273-1)/12)*(B273&lt;=Simulation!$F$24*12)</f>
        <v>0</v>
      </c>
      <c r="I273" s="114">
        <f>(Simulation!$F$22-VLOOKUP(Simulation!$C$27,'Comparatif fiscal'!$B$8:$E$17,4,FALSE)-C273)*(B273=Simulation!$F$24*12)</f>
        <v>0</v>
      </c>
      <c r="J273" s="114">
        <f>(Simulation!$C$21+Simulation!$C$22)/12*(1+Simulation!$F$17)^INT((B273-1)/12)*(B273&lt;=Simulation!$F$24*12)</f>
        <v>0</v>
      </c>
      <c r="K273" s="114">
        <f>(H273*Simulation!$C$24+Simulation!$C$23/12*(1+Simulation!$F$15)^INT((B273-1)/12))*(B273&lt;=Simulation!$F$24*12)</f>
        <v>0</v>
      </c>
      <c r="L273" s="114">
        <f>Simulation!$C$19/12*(1+Simulation!$F$18)^INT((B273-1)/12)*(B273&lt;=Simulation!$F$24*12)</f>
        <v>0</v>
      </c>
      <c r="M273" s="114">
        <f>(Simulation!$C$20/12*(1+Simulation!$F$19)^INT((B273-1)/12)+F273)*(B273&lt;=Simulation!$F$24*12)</f>
        <v>0</v>
      </c>
      <c r="N273" s="114">
        <f ca="1">SUMIF('Détail fiscalité'!$B$8:$B$37,INT(B273/12),'Détail fiscalité'!$CI$8:$CI$37)/12+SUMIF('Détail fiscalité'!$B$8:$B$37,B273/12,'Détail fiscalité'!$CI$8:$CI$37)-SUMIF('Détail fiscalité'!$B$8:$B$37,B273/12-1,'Détail fiscalité'!$CI$8:$CI$37)</f>
        <v>0</v>
      </c>
      <c r="O273" s="116">
        <f t="shared" ca="1" si="24"/>
        <v>0</v>
      </c>
    </row>
    <row r="274" spans="2:15" x14ac:dyDescent="0.15">
      <c r="B274" s="40">
        <f t="shared" si="23"/>
        <v>267</v>
      </c>
      <c r="C274" s="113">
        <f>IF(B274&lt;=MIN(Simulation!$F$10*12+Simulation!$F$12*OR(Simulation!$F$11="Amortissable différé partiel",Simulation!$F$11="Amortissable différé total"),Simulation!$F$24*12),IF(AND(B274&lt;=Simulation!$F$12,OR(Simulation!$F$11="Amortissable différé partiel",Simulation!$F$11="Amortissable différé total")),C273*(1+(Simulation!$F$11="Amortissable différé total")*Simulation!$F$8/12),C273-D274),0)</f>
        <v>0</v>
      </c>
      <c r="D274" s="114">
        <f>IF(B274&lt;=MIN(Simulation!$F$10*12+Simulation!$F$12*OR(Simulation!$F$11="Amortissable différé partiel",Simulation!$F$11="Amortissable différé total"),Simulation!$F$24*12),G274-E274,0)</f>
        <v>0</v>
      </c>
      <c r="E274" s="114">
        <f>IF(B274&lt;=MIN(Simulation!$F$10*12+Simulation!$F$12*OR(Simulation!$F$11="Amortissable différé partiel",Simulation!$F$11="Amortissable différé total"),Simulation!$F$24*12),IF(AND(B274&lt;=Simulation!$F$12,Simulation!$F$11="Amortissable différé total"),0,C273*Simulation!$F$8/12),0)</f>
        <v>0</v>
      </c>
      <c r="F274" s="114">
        <f>IF(B274&lt;=MIN(Simulation!$F$10*12+Simulation!$F$12*OR(Simulation!$F$11="Amortissable différé partiel",Simulation!$F$11="Amortissable différé total"),Simulation!$F$24*12),Simulation!$E$33*Simulation!$F$9/12,0)</f>
        <v>0</v>
      </c>
      <c r="G274" s="115">
        <f>IF(B274&lt;=MIN(Simulation!$F$10*12+Simulation!$F$12*OR(Simulation!$F$11="Amortissable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partiel",IF(B274&lt;=Simulation!$F$12,Simulation!$E$33*Simulation!$F$8/12,PMT(Simulation!$F$8/12,Simulation!$F$10*12,-Simulation!$E$34)),IF(Simulation!$F$11="Amortissable différé total",IF(B274&lt;=Simulation!$F$12,0,PMT(Simulation!$F$8/12,Simulation!$F$10*12,-Simulation!$E$34)),IF(Simulation!$F$11="In fine",IF(B274=Simulation!$F$10*12,Simulation!$E$34,Simulation!$F$8*Simulation!$E$34/12),0)))),0)</f>
        <v>0</v>
      </c>
      <c r="H274" s="113">
        <f>Simulation!$C$16/12*(1+Simulation!$F$15)^INT((B274-1)/12)*(B274&lt;=Simulation!$F$24*12)</f>
        <v>0</v>
      </c>
      <c r="I274" s="114">
        <f>(Simulation!$F$22-VLOOKUP(Simulation!$C$27,'Comparatif fiscal'!$B$8:$E$17,4,FALSE)-C274)*(B274=Simulation!$F$24*12)</f>
        <v>0</v>
      </c>
      <c r="J274" s="114">
        <f>(Simulation!$C$21+Simulation!$C$22)/12*(1+Simulation!$F$17)^INT((B274-1)/12)*(B274&lt;=Simulation!$F$24*12)</f>
        <v>0</v>
      </c>
      <c r="K274" s="114">
        <f>(H274*Simulation!$C$24+Simulation!$C$23/12*(1+Simulation!$F$15)^INT((B274-1)/12))*(B274&lt;=Simulation!$F$24*12)</f>
        <v>0</v>
      </c>
      <c r="L274" s="114">
        <f>Simulation!$C$19/12*(1+Simulation!$F$18)^INT((B274-1)/12)*(B274&lt;=Simulation!$F$24*12)</f>
        <v>0</v>
      </c>
      <c r="M274" s="114">
        <f>(Simulation!$C$20/12*(1+Simulation!$F$19)^INT((B274-1)/12)+F274)*(B274&lt;=Simulation!$F$24*12)</f>
        <v>0</v>
      </c>
      <c r="N274" s="114">
        <f ca="1">SUMIF('Détail fiscalité'!$B$8:$B$37,INT(B274/12),'Détail fiscalité'!$CI$8:$CI$37)/12+SUMIF('Détail fiscalité'!$B$8:$B$37,B274/12,'Détail fiscalité'!$CI$8:$CI$37)-SUMIF('Détail fiscalité'!$B$8:$B$37,B274/12-1,'Détail fiscalité'!$CI$8:$CI$37)</f>
        <v>0</v>
      </c>
      <c r="O274" s="116">
        <f t="shared" ca="1" si="24"/>
        <v>0</v>
      </c>
    </row>
    <row r="275" spans="2:15" x14ac:dyDescent="0.15">
      <c r="B275" s="40">
        <f t="shared" si="23"/>
        <v>268</v>
      </c>
      <c r="C275" s="113">
        <f>IF(B275&lt;=MIN(Simulation!$F$10*12+Simulation!$F$12*OR(Simulation!$F$11="Amortissable différé partiel",Simulation!$F$11="Amortissable différé total"),Simulation!$F$24*12),IF(AND(B275&lt;=Simulation!$F$12,OR(Simulation!$F$11="Amortissable différé partiel",Simulation!$F$11="Amortissable différé total")),C274*(1+(Simulation!$F$11="Amortissable différé total")*Simulation!$F$8/12),C274-D275),0)</f>
        <v>0</v>
      </c>
      <c r="D275" s="114">
        <f>IF(B275&lt;=MIN(Simulation!$F$10*12+Simulation!$F$12*OR(Simulation!$F$11="Amortissable différé partiel",Simulation!$F$11="Amortissable différé total"),Simulation!$F$24*12),G275-E275,0)</f>
        <v>0</v>
      </c>
      <c r="E275" s="114">
        <f>IF(B275&lt;=MIN(Simulation!$F$10*12+Simulation!$F$12*OR(Simulation!$F$11="Amortissable différé partiel",Simulation!$F$11="Amortissable différé total"),Simulation!$F$24*12),IF(AND(B275&lt;=Simulation!$F$12,Simulation!$F$11="Amortissable différé total"),0,C274*Simulation!$F$8/12),0)</f>
        <v>0</v>
      </c>
      <c r="F275" s="114">
        <f>IF(B275&lt;=MIN(Simulation!$F$10*12+Simulation!$F$12*OR(Simulation!$F$11="Amortissable différé partiel",Simulation!$F$11="Amortissable différé total"),Simulation!$F$24*12),Simulation!$E$33*Simulation!$F$9/12,0)</f>
        <v>0</v>
      </c>
      <c r="G275" s="115">
        <f>IF(B275&lt;=MIN(Simulation!$F$10*12+Simulation!$F$12*OR(Simulation!$F$11="Amortissable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partiel",IF(B275&lt;=Simulation!$F$12,Simulation!$E$33*Simulation!$F$8/12,PMT(Simulation!$F$8/12,Simulation!$F$10*12,-Simulation!$E$34)),IF(Simulation!$F$11="Amortissable différé total",IF(B275&lt;=Simulation!$F$12,0,PMT(Simulation!$F$8/12,Simulation!$F$10*12,-Simulation!$E$34)),IF(Simulation!$F$11="In fine",IF(B275=Simulation!$F$10*12,Simulation!$E$34,Simulation!$F$8*Simulation!$E$34/12),0)))),0)</f>
        <v>0</v>
      </c>
      <c r="H275" s="113">
        <f>Simulation!$C$16/12*(1+Simulation!$F$15)^INT((B275-1)/12)*(B275&lt;=Simulation!$F$24*12)</f>
        <v>0</v>
      </c>
      <c r="I275" s="114">
        <f>(Simulation!$F$22-VLOOKUP(Simulation!$C$27,'Comparatif fiscal'!$B$8:$E$17,4,FALSE)-C275)*(B275=Simulation!$F$24*12)</f>
        <v>0</v>
      </c>
      <c r="J275" s="114">
        <f>(Simulation!$C$21+Simulation!$C$22)/12*(1+Simulation!$F$17)^INT((B275-1)/12)*(B275&lt;=Simulation!$F$24*12)</f>
        <v>0</v>
      </c>
      <c r="K275" s="114">
        <f>(H275*Simulation!$C$24+Simulation!$C$23/12*(1+Simulation!$F$15)^INT((B275-1)/12))*(B275&lt;=Simulation!$F$24*12)</f>
        <v>0</v>
      </c>
      <c r="L275" s="114">
        <f>Simulation!$C$19/12*(1+Simulation!$F$18)^INT((B275-1)/12)*(B275&lt;=Simulation!$F$24*12)</f>
        <v>0</v>
      </c>
      <c r="M275" s="114">
        <f>(Simulation!$C$20/12*(1+Simulation!$F$19)^INT((B275-1)/12)+F275)*(B275&lt;=Simulation!$F$24*12)</f>
        <v>0</v>
      </c>
      <c r="N275" s="114">
        <f ca="1">SUMIF('Détail fiscalité'!$B$8:$B$37,INT(B275/12),'Détail fiscalité'!$CI$8:$CI$37)/12+SUMIF('Détail fiscalité'!$B$8:$B$37,B275/12,'Détail fiscalité'!$CI$8:$CI$37)-SUMIF('Détail fiscalité'!$B$8:$B$37,B275/12-1,'Détail fiscalité'!$CI$8:$CI$37)</f>
        <v>0</v>
      </c>
      <c r="O275" s="116">
        <f t="shared" ca="1" si="24"/>
        <v>0</v>
      </c>
    </row>
    <row r="276" spans="2:15" x14ac:dyDescent="0.15">
      <c r="B276" s="40">
        <f t="shared" si="23"/>
        <v>269</v>
      </c>
      <c r="C276" s="113">
        <f>IF(B276&lt;=MIN(Simulation!$F$10*12+Simulation!$F$12*OR(Simulation!$F$11="Amortissable différé partiel",Simulation!$F$11="Amortissable différé total"),Simulation!$F$24*12),IF(AND(B276&lt;=Simulation!$F$12,OR(Simulation!$F$11="Amortissable différé partiel",Simulation!$F$11="Amortissable différé total")),C275*(1+(Simulation!$F$11="Amortissable différé total")*Simulation!$F$8/12),C275-D276),0)</f>
        <v>0</v>
      </c>
      <c r="D276" s="114">
        <f>IF(B276&lt;=MIN(Simulation!$F$10*12+Simulation!$F$12*OR(Simulation!$F$11="Amortissable différé partiel",Simulation!$F$11="Amortissable différé total"),Simulation!$F$24*12),G276-E276,0)</f>
        <v>0</v>
      </c>
      <c r="E276" s="114">
        <f>IF(B276&lt;=MIN(Simulation!$F$10*12+Simulation!$F$12*OR(Simulation!$F$11="Amortissable différé partiel",Simulation!$F$11="Amortissable différé total"),Simulation!$F$24*12),IF(AND(B276&lt;=Simulation!$F$12,Simulation!$F$11="Amortissable différé total"),0,C275*Simulation!$F$8/12),0)</f>
        <v>0</v>
      </c>
      <c r="F276" s="114">
        <f>IF(B276&lt;=MIN(Simulation!$F$10*12+Simulation!$F$12*OR(Simulation!$F$11="Amortissable différé partiel",Simulation!$F$11="Amortissable différé total"),Simulation!$F$24*12),Simulation!$E$33*Simulation!$F$9/12,0)</f>
        <v>0</v>
      </c>
      <c r="G276" s="115">
        <f>IF(B276&lt;=MIN(Simulation!$F$10*12+Simulation!$F$12*OR(Simulation!$F$11="Amortissable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partiel",IF(B276&lt;=Simulation!$F$12,Simulation!$E$33*Simulation!$F$8/12,PMT(Simulation!$F$8/12,Simulation!$F$10*12,-Simulation!$E$34)),IF(Simulation!$F$11="Amortissable différé total",IF(B276&lt;=Simulation!$F$12,0,PMT(Simulation!$F$8/12,Simulation!$F$10*12,-Simulation!$E$34)),IF(Simulation!$F$11="In fine",IF(B276=Simulation!$F$10*12,Simulation!$E$34,Simulation!$F$8*Simulation!$E$34/12),0)))),0)</f>
        <v>0</v>
      </c>
      <c r="H276" s="113">
        <f>Simulation!$C$16/12*(1+Simulation!$F$15)^INT((B276-1)/12)*(B276&lt;=Simulation!$F$24*12)</f>
        <v>0</v>
      </c>
      <c r="I276" s="114">
        <f>(Simulation!$F$22-VLOOKUP(Simulation!$C$27,'Comparatif fiscal'!$B$8:$E$17,4,FALSE)-C276)*(B276=Simulation!$F$24*12)</f>
        <v>0</v>
      </c>
      <c r="J276" s="114">
        <f>(Simulation!$C$21+Simulation!$C$22)/12*(1+Simulation!$F$17)^INT((B276-1)/12)*(B276&lt;=Simulation!$F$24*12)</f>
        <v>0</v>
      </c>
      <c r="K276" s="114">
        <f>(H276*Simulation!$C$24+Simulation!$C$23/12*(1+Simulation!$F$15)^INT((B276-1)/12))*(B276&lt;=Simulation!$F$24*12)</f>
        <v>0</v>
      </c>
      <c r="L276" s="114">
        <f>Simulation!$C$19/12*(1+Simulation!$F$18)^INT((B276-1)/12)*(B276&lt;=Simulation!$F$24*12)</f>
        <v>0</v>
      </c>
      <c r="M276" s="114">
        <f>(Simulation!$C$20/12*(1+Simulation!$F$19)^INT((B276-1)/12)+F276)*(B276&lt;=Simulation!$F$24*12)</f>
        <v>0</v>
      </c>
      <c r="N276" s="114">
        <f ca="1">SUMIF('Détail fiscalité'!$B$8:$B$37,INT(B276/12),'Détail fiscalité'!$CI$8:$CI$37)/12+SUMIF('Détail fiscalité'!$B$8:$B$37,B276/12,'Détail fiscalité'!$CI$8:$CI$37)-SUMIF('Détail fiscalité'!$B$8:$B$37,B276/12-1,'Détail fiscalité'!$CI$8:$CI$37)</f>
        <v>0</v>
      </c>
      <c r="O276" s="116">
        <f t="shared" ca="1" si="24"/>
        <v>0</v>
      </c>
    </row>
    <row r="277" spans="2:15" x14ac:dyDescent="0.15">
      <c r="B277" s="40">
        <f t="shared" si="23"/>
        <v>270</v>
      </c>
      <c r="C277" s="113">
        <f>IF(B277&lt;=MIN(Simulation!$F$10*12+Simulation!$F$12*OR(Simulation!$F$11="Amortissable différé partiel",Simulation!$F$11="Amortissable différé total"),Simulation!$F$24*12),IF(AND(B277&lt;=Simulation!$F$12,OR(Simulation!$F$11="Amortissable différé partiel",Simulation!$F$11="Amortissable différé total")),C276*(1+(Simulation!$F$11="Amortissable différé total")*Simulation!$F$8/12),C276-D277),0)</f>
        <v>0</v>
      </c>
      <c r="D277" s="114">
        <f>IF(B277&lt;=MIN(Simulation!$F$10*12+Simulation!$F$12*OR(Simulation!$F$11="Amortissable différé partiel",Simulation!$F$11="Amortissable différé total"),Simulation!$F$24*12),G277-E277,0)</f>
        <v>0</v>
      </c>
      <c r="E277" s="114">
        <f>IF(B277&lt;=MIN(Simulation!$F$10*12+Simulation!$F$12*OR(Simulation!$F$11="Amortissable différé partiel",Simulation!$F$11="Amortissable différé total"),Simulation!$F$24*12),IF(AND(B277&lt;=Simulation!$F$12,Simulation!$F$11="Amortissable différé total"),0,C276*Simulation!$F$8/12),0)</f>
        <v>0</v>
      </c>
      <c r="F277" s="114">
        <f>IF(B277&lt;=MIN(Simulation!$F$10*12+Simulation!$F$12*OR(Simulation!$F$11="Amortissable différé partiel",Simulation!$F$11="Amortissable différé total"),Simulation!$F$24*12),Simulation!$E$33*Simulation!$F$9/12,0)</f>
        <v>0</v>
      </c>
      <c r="G277" s="115">
        <f>IF(B277&lt;=MIN(Simulation!$F$10*12+Simulation!$F$12*OR(Simulation!$F$11="Amortissable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partiel",IF(B277&lt;=Simulation!$F$12,Simulation!$E$33*Simulation!$F$8/12,PMT(Simulation!$F$8/12,Simulation!$F$10*12,-Simulation!$E$34)),IF(Simulation!$F$11="Amortissable différé total",IF(B277&lt;=Simulation!$F$12,0,PMT(Simulation!$F$8/12,Simulation!$F$10*12,-Simulation!$E$34)),IF(Simulation!$F$11="In fine",IF(B277=Simulation!$F$10*12,Simulation!$E$34,Simulation!$F$8*Simulation!$E$34/12),0)))),0)</f>
        <v>0</v>
      </c>
      <c r="H277" s="113">
        <f>Simulation!$C$16/12*(1+Simulation!$F$15)^INT((B277-1)/12)*(B277&lt;=Simulation!$F$24*12)</f>
        <v>0</v>
      </c>
      <c r="I277" s="114">
        <f>(Simulation!$F$22-VLOOKUP(Simulation!$C$27,'Comparatif fiscal'!$B$8:$E$17,4,FALSE)-C277)*(B277=Simulation!$F$24*12)</f>
        <v>0</v>
      </c>
      <c r="J277" s="114">
        <f>(Simulation!$C$21+Simulation!$C$22)/12*(1+Simulation!$F$17)^INT((B277-1)/12)*(B277&lt;=Simulation!$F$24*12)</f>
        <v>0</v>
      </c>
      <c r="K277" s="114">
        <f>(H277*Simulation!$C$24+Simulation!$C$23/12*(1+Simulation!$F$15)^INT((B277-1)/12))*(B277&lt;=Simulation!$F$24*12)</f>
        <v>0</v>
      </c>
      <c r="L277" s="114">
        <f>Simulation!$C$19/12*(1+Simulation!$F$18)^INT((B277-1)/12)*(B277&lt;=Simulation!$F$24*12)</f>
        <v>0</v>
      </c>
      <c r="M277" s="114">
        <f>(Simulation!$C$20/12*(1+Simulation!$F$19)^INT((B277-1)/12)+F277)*(B277&lt;=Simulation!$F$24*12)</f>
        <v>0</v>
      </c>
      <c r="N277" s="114">
        <f ca="1">SUMIF('Détail fiscalité'!$B$8:$B$37,INT(B277/12),'Détail fiscalité'!$CI$8:$CI$37)/12+SUMIF('Détail fiscalité'!$B$8:$B$37,B277/12,'Détail fiscalité'!$CI$8:$CI$37)-SUMIF('Détail fiscalité'!$B$8:$B$37,B277/12-1,'Détail fiscalité'!$CI$8:$CI$37)</f>
        <v>0</v>
      </c>
      <c r="O277" s="116">
        <f t="shared" ca="1" si="24"/>
        <v>0</v>
      </c>
    </row>
    <row r="278" spans="2:15" x14ac:dyDescent="0.15">
      <c r="B278" s="40">
        <f t="shared" si="23"/>
        <v>271</v>
      </c>
      <c r="C278" s="113">
        <f>IF(B278&lt;=MIN(Simulation!$F$10*12+Simulation!$F$12*OR(Simulation!$F$11="Amortissable différé partiel",Simulation!$F$11="Amortissable différé total"),Simulation!$F$24*12),IF(AND(B278&lt;=Simulation!$F$12,OR(Simulation!$F$11="Amortissable différé partiel",Simulation!$F$11="Amortissable différé total")),C277*(1+(Simulation!$F$11="Amortissable différé total")*Simulation!$F$8/12),C277-D278),0)</f>
        <v>0</v>
      </c>
      <c r="D278" s="114">
        <f>IF(B278&lt;=MIN(Simulation!$F$10*12+Simulation!$F$12*OR(Simulation!$F$11="Amortissable différé partiel",Simulation!$F$11="Amortissable différé total"),Simulation!$F$24*12),G278-E278,0)</f>
        <v>0</v>
      </c>
      <c r="E278" s="114">
        <f>IF(B278&lt;=MIN(Simulation!$F$10*12+Simulation!$F$12*OR(Simulation!$F$11="Amortissable différé partiel",Simulation!$F$11="Amortissable différé total"),Simulation!$F$24*12),IF(AND(B278&lt;=Simulation!$F$12,Simulation!$F$11="Amortissable différé total"),0,C277*Simulation!$F$8/12),0)</f>
        <v>0</v>
      </c>
      <c r="F278" s="114">
        <f>IF(B278&lt;=MIN(Simulation!$F$10*12+Simulation!$F$12*OR(Simulation!$F$11="Amortissable différé partiel",Simulation!$F$11="Amortissable différé total"),Simulation!$F$24*12),Simulation!$E$33*Simulation!$F$9/12,0)</f>
        <v>0</v>
      </c>
      <c r="G278" s="115">
        <f>IF(B278&lt;=MIN(Simulation!$F$10*12+Simulation!$F$12*OR(Simulation!$F$11="Amortissable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partiel",IF(B278&lt;=Simulation!$F$12,Simulation!$E$33*Simulation!$F$8/12,PMT(Simulation!$F$8/12,Simulation!$F$10*12,-Simulation!$E$34)),IF(Simulation!$F$11="Amortissable différé total",IF(B278&lt;=Simulation!$F$12,0,PMT(Simulation!$F$8/12,Simulation!$F$10*12,-Simulation!$E$34)),IF(Simulation!$F$11="In fine",IF(B278=Simulation!$F$10*12,Simulation!$E$34,Simulation!$F$8*Simulation!$E$34/12),0)))),0)</f>
        <v>0</v>
      </c>
      <c r="H278" s="113">
        <f>Simulation!$C$16/12*(1+Simulation!$F$15)^INT((B278-1)/12)*(B278&lt;=Simulation!$F$24*12)</f>
        <v>0</v>
      </c>
      <c r="I278" s="114">
        <f>(Simulation!$F$22-VLOOKUP(Simulation!$C$27,'Comparatif fiscal'!$B$8:$E$17,4,FALSE)-C278)*(B278=Simulation!$F$24*12)</f>
        <v>0</v>
      </c>
      <c r="J278" s="114">
        <f>(Simulation!$C$21+Simulation!$C$22)/12*(1+Simulation!$F$17)^INT((B278-1)/12)*(B278&lt;=Simulation!$F$24*12)</f>
        <v>0</v>
      </c>
      <c r="K278" s="114">
        <f>(H278*Simulation!$C$24+Simulation!$C$23/12*(1+Simulation!$F$15)^INT((B278-1)/12))*(B278&lt;=Simulation!$F$24*12)</f>
        <v>0</v>
      </c>
      <c r="L278" s="114">
        <f>Simulation!$C$19/12*(1+Simulation!$F$18)^INT((B278-1)/12)*(B278&lt;=Simulation!$F$24*12)</f>
        <v>0</v>
      </c>
      <c r="M278" s="114">
        <f>(Simulation!$C$20/12*(1+Simulation!$F$19)^INT((B278-1)/12)+F278)*(B278&lt;=Simulation!$F$24*12)</f>
        <v>0</v>
      </c>
      <c r="N278" s="114">
        <f ca="1">SUMIF('Détail fiscalité'!$B$8:$B$37,INT(B278/12),'Détail fiscalité'!$CI$8:$CI$37)/12+SUMIF('Détail fiscalité'!$B$8:$B$37,B278/12,'Détail fiscalité'!$CI$8:$CI$37)-SUMIF('Détail fiscalité'!$B$8:$B$37,B278/12-1,'Détail fiscalité'!$CI$8:$CI$37)</f>
        <v>0</v>
      </c>
      <c r="O278" s="116">
        <f t="shared" ca="1" si="24"/>
        <v>0</v>
      </c>
    </row>
    <row r="279" spans="2:15" x14ac:dyDescent="0.15">
      <c r="B279" s="40">
        <f t="shared" si="23"/>
        <v>272</v>
      </c>
      <c r="C279" s="113">
        <f>IF(B279&lt;=MIN(Simulation!$F$10*12+Simulation!$F$12*OR(Simulation!$F$11="Amortissable différé partiel",Simulation!$F$11="Amortissable différé total"),Simulation!$F$24*12),IF(AND(B279&lt;=Simulation!$F$12,OR(Simulation!$F$11="Amortissable différé partiel",Simulation!$F$11="Amortissable différé total")),C278*(1+(Simulation!$F$11="Amortissable différé total")*Simulation!$F$8/12),C278-D279),0)</f>
        <v>0</v>
      </c>
      <c r="D279" s="114">
        <f>IF(B279&lt;=MIN(Simulation!$F$10*12+Simulation!$F$12*OR(Simulation!$F$11="Amortissable différé partiel",Simulation!$F$11="Amortissable différé total"),Simulation!$F$24*12),G279-E279,0)</f>
        <v>0</v>
      </c>
      <c r="E279" s="114">
        <f>IF(B279&lt;=MIN(Simulation!$F$10*12+Simulation!$F$12*OR(Simulation!$F$11="Amortissable différé partiel",Simulation!$F$11="Amortissable différé total"),Simulation!$F$24*12),IF(AND(B279&lt;=Simulation!$F$12,Simulation!$F$11="Amortissable différé total"),0,C278*Simulation!$F$8/12),0)</f>
        <v>0</v>
      </c>
      <c r="F279" s="114">
        <f>IF(B279&lt;=MIN(Simulation!$F$10*12+Simulation!$F$12*OR(Simulation!$F$11="Amortissable différé partiel",Simulation!$F$11="Amortissable différé total"),Simulation!$F$24*12),Simulation!$E$33*Simulation!$F$9/12,0)</f>
        <v>0</v>
      </c>
      <c r="G279" s="115">
        <f>IF(B279&lt;=MIN(Simulation!$F$10*12+Simulation!$F$12*OR(Simulation!$F$11="Amortissable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partiel",IF(B279&lt;=Simulation!$F$12,Simulation!$E$33*Simulation!$F$8/12,PMT(Simulation!$F$8/12,Simulation!$F$10*12,-Simulation!$E$34)),IF(Simulation!$F$11="Amortissable différé total",IF(B279&lt;=Simulation!$F$12,0,PMT(Simulation!$F$8/12,Simulation!$F$10*12,-Simulation!$E$34)),IF(Simulation!$F$11="In fine",IF(B279=Simulation!$F$10*12,Simulation!$E$34,Simulation!$F$8*Simulation!$E$34/12),0)))),0)</f>
        <v>0</v>
      </c>
      <c r="H279" s="113">
        <f>Simulation!$C$16/12*(1+Simulation!$F$15)^INT((B279-1)/12)*(B279&lt;=Simulation!$F$24*12)</f>
        <v>0</v>
      </c>
      <c r="I279" s="114">
        <f>(Simulation!$F$22-VLOOKUP(Simulation!$C$27,'Comparatif fiscal'!$B$8:$E$17,4,FALSE)-C279)*(B279=Simulation!$F$24*12)</f>
        <v>0</v>
      </c>
      <c r="J279" s="114">
        <f>(Simulation!$C$21+Simulation!$C$22)/12*(1+Simulation!$F$17)^INT((B279-1)/12)*(B279&lt;=Simulation!$F$24*12)</f>
        <v>0</v>
      </c>
      <c r="K279" s="114">
        <f>(H279*Simulation!$C$24+Simulation!$C$23/12*(1+Simulation!$F$15)^INT((B279-1)/12))*(B279&lt;=Simulation!$F$24*12)</f>
        <v>0</v>
      </c>
      <c r="L279" s="114">
        <f>Simulation!$C$19/12*(1+Simulation!$F$18)^INT((B279-1)/12)*(B279&lt;=Simulation!$F$24*12)</f>
        <v>0</v>
      </c>
      <c r="M279" s="114">
        <f>(Simulation!$C$20/12*(1+Simulation!$F$19)^INT((B279-1)/12)+F279)*(B279&lt;=Simulation!$F$24*12)</f>
        <v>0</v>
      </c>
      <c r="N279" s="114">
        <f ca="1">SUMIF('Détail fiscalité'!$B$8:$B$37,INT(B279/12),'Détail fiscalité'!$CI$8:$CI$37)/12+SUMIF('Détail fiscalité'!$B$8:$B$37,B279/12,'Détail fiscalité'!$CI$8:$CI$37)-SUMIF('Détail fiscalité'!$B$8:$B$37,B279/12-1,'Détail fiscalité'!$CI$8:$CI$37)</f>
        <v>0</v>
      </c>
      <c r="O279" s="116">
        <f t="shared" ca="1" si="24"/>
        <v>0</v>
      </c>
    </row>
    <row r="280" spans="2:15" x14ac:dyDescent="0.15">
      <c r="B280" s="40">
        <f t="shared" si="23"/>
        <v>273</v>
      </c>
      <c r="C280" s="113">
        <f>IF(B280&lt;=MIN(Simulation!$F$10*12+Simulation!$F$12*OR(Simulation!$F$11="Amortissable différé partiel",Simulation!$F$11="Amortissable différé total"),Simulation!$F$24*12),IF(AND(B280&lt;=Simulation!$F$12,OR(Simulation!$F$11="Amortissable différé partiel",Simulation!$F$11="Amortissable différé total")),C279*(1+(Simulation!$F$11="Amortissable différé total")*Simulation!$F$8/12),C279-D280),0)</f>
        <v>0</v>
      </c>
      <c r="D280" s="114">
        <f>IF(B280&lt;=MIN(Simulation!$F$10*12+Simulation!$F$12*OR(Simulation!$F$11="Amortissable différé partiel",Simulation!$F$11="Amortissable différé total"),Simulation!$F$24*12),G280-E280,0)</f>
        <v>0</v>
      </c>
      <c r="E280" s="114">
        <f>IF(B280&lt;=MIN(Simulation!$F$10*12+Simulation!$F$12*OR(Simulation!$F$11="Amortissable différé partiel",Simulation!$F$11="Amortissable différé total"),Simulation!$F$24*12),IF(AND(B280&lt;=Simulation!$F$12,Simulation!$F$11="Amortissable différé total"),0,C279*Simulation!$F$8/12),0)</f>
        <v>0</v>
      </c>
      <c r="F280" s="114">
        <f>IF(B280&lt;=MIN(Simulation!$F$10*12+Simulation!$F$12*OR(Simulation!$F$11="Amortissable différé partiel",Simulation!$F$11="Amortissable différé total"),Simulation!$F$24*12),Simulation!$E$33*Simulation!$F$9/12,0)</f>
        <v>0</v>
      </c>
      <c r="G280" s="115">
        <f>IF(B280&lt;=MIN(Simulation!$F$10*12+Simulation!$F$12*OR(Simulation!$F$11="Amortissable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partiel",IF(B280&lt;=Simulation!$F$12,Simulation!$E$33*Simulation!$F$8/12,PMT(Simulation!$F$8/12,Simulation!$F$10*12,-Simulation!$E$34)),IF(Simulation!$F$11="Amortissable différé total",IF(B280&lt;=Simulation!$F$12,0,PMT(Simulation!$F$8/12,Simulation!$F$10*12,-Simulation!$E$34)),IF(Simulation!$F$11="In fine",IF(B280=Simulation!$F$10*12,Simulation!$E$34,Simulation!$F$8*Simulation!$E$34/12),0)))),0)</f>
        <v>0</v>
      </c>
      <c r="H280" s="113">
        <f>Simulation!$C$16/12*(1+Simulation!$F$15)^INT((B280-1)/12)*(B280&lt;=Simulation!$F$24*12)</f>
        <v>0</v>
      </c>
      <c r="I280" s="114">
        <f>(Simulation!$F$22-VLOOKUP(Simulation!$C$27,'Comparatif fiscal'!$B$8:$E$17,4,FALSE)-C280)*(B280=Simulation!$F$24*12)</f>
        <v>0</v>
      </c>
      <c r="J280" s="114">
        <f>(Simulation!$C$21+Simulation!$C$22)/12*(1+Simulation!$F$17)^INT((B280-1)/12)*(B280&lt;=Simulation!$F$24*12)</f>
        <v>0</v>
      </c>
      <c r="K280" s="114">
        <f>(H280*Simulation!$C$24+Simulation!$C$23/12*(1+Simulation!$F$15)^INT((B280-1)/12))*(B280&lt;=Simulation!$F$24*12)</f>
        <v>0</v>
      </c>
      <c r="L280" s="114">
        <f>Simulation!$C$19/12*(1+Simulation!$F$18)^INT((B280-1)/12)*(B280&lt;=Simulation!$F$24*12)</f>
        <v>0</v>
      </c>
      <c r="M280" s="114">
        <f>(Simulation!$C$20/12*(1+Simulation!$F$19)^INT((B280-1)/12)+F280)*(B280&lt;=Simulation!$F$24*12)</f>
        <v>0</v>
      </c>
      <c r="N280" s="114">
        <f ca="1">SUMIF('Détail fiscalité'!$B$8:$B$37,INT(B280/12),'Détail fiscalité'!$CI$8:$CI$37)/12+SUMIF('Détail fiscalité'!$B$8:$B$37,B280/12,'Détail fiscalité'!$CI$8:$CI$37)-SUMIF('Détail fiscalité'!$B$8:$B$37,B280/12-1,'Détail fiscalité'!$CI$8:$CI$37)</f>
        <v>0</v>
      </c>
      <c r="O280" s="116">
        <f t="shared" ca="1" si="24"/>
        <v>0</v>
      </c>
    </row>
    <row r="281" spans="2:15" x14ac:dyDescent="0.15">
      <c r="B281" s="40">
        <f t="shared" si="23"/>
        <v>274</v>
      </c>
      <c r="C281" s="113">
        <f>IF(B281&lt;=MIN(Simulation!$F$10*12+Simulation!$F$12*OR(Simulation!$F$11="Amortissable différé partiel",Simulation!$F$11="Amortissable différé total"),Simulation!$F$24*12),IF(AND(B281&lt;=Simulation!$F$12,OR(Simulation!$F$11="Amortissable différé partiel",Simulation!$F$11="Amortissable différé total")),C280*(1+(Simulation!$F$11="Amortissable différé total")*Simulation!$F$8/12),C280-D281),0)</f>
        <v>0</v>
      </c>
      <c r="D281" s="114">
        <f>IF(B281&lt;=MIN(Simulation!$F$10*12+Simulation!$F$12*OR(Simulation!$F$11="Amortissable différé partiel",Simulation!$F$11="Amortissable différé total"),Simulation!$F$24*12),G281-E281,0)</f>
        <v>0</v>
      </c>
      <c r="E281" s="114">
        <f>IF(B281&lt;=MIN(Simulation!$F$10*12+Simulation!$F$12*OR(Simulation!$F$11="Amortissable différé partiel",Simulation!$F$11="Amortissable différé total"),Simulation!$F$24*12),IF(AND(B281&lt;=Simulation!$F$12,Simulation!$F$11="Amortissable différé total"),0,C280*Simulation!$F$8/12),0)</f>
        <v>0</v>
      </c>
      <c r="F281" s="114">
        <f>IF(B281&lt;=MIN(Simulation!$F$10*12+Simulation!$F$12*OR(Simulation!$F$11="Amortissable différé partiel",Simulation!$F$11="Amortissable différé total"),Simulation!$F$24*12),Simulation!$E$33*Simulation!$F$9/12,0)</f>
        <v>0</v>
      </c>
      <c r="G281" s="115">
        <f>IF(B281&lt;=MIN(Simulation!$F$10*12+Simulation!$F$12*OR(Simulation!$F$11="Amortissable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partiel",IF(B281&lt;=Simulation!$F$12,Simulation!$E$33*Simulation!$F$8/12,PMT(Simulation!$F$8/12,Simulation!$F$10*12,-Simulation!$E$34)),IF(Simulation!$F$11="Amortissable différé total",IF(B281&lt;=Simulation!$F$12,0,PMT(Simulation!$F$8/12,Simulation!$F$10*12,-Simulation!$E$34)),IF(Simulation!$F$11="In fine",IF(B281=Simulation!$F$10*12,Simulation!$E$34,Simulation!$F$8*Simulation!$E$34/12),0)))),0)</f>
        <v>0</v>
      </c>
      <c r="H281" s="113">
        <f>Simulation!$C$16/12*(1+Simulation!$F$15)^INT((B281-1)/12)*(B281&lt;=Simulation!$F$24*12)</f>
        <v>0</v>
      </c>
      <c r="I281" s="114">
        <f>(Simulation!$F$22-VLOOKUP(Simulation!$C$27,'Comparatif fiscal'!$B$8:$E$17,4,FALSE)-C281)*(B281=Simulation!$F$24*12)</f>
        <v>0</v>
      </c>
      <c r="J281" s="114">
        <f>(Simulation!$C$21+Simulation!$C$22)/12*(1+Simulation!$F$17)^INT((B281-1)/12)*(B281&lt;=Simulation!$F$24*12)</f>
        <v>0</v>
      </c>
      <c r="K281" s="114">
        <f>(H281*Simulation!$C$24+Simulation!$C$23/12*(1+Simulation!$F$15)^INT((B281-1)/12))*(B281&lt;=Simulation!$F$24*12)</f>
        <v>0</v>
      </c>
      <c r="L281" s="114">
        <f>Simulation!$C$19/12*(1+Simulation!$F$18)^INT((B281-1)/12)*(B281&lt;=Simulation!$F$24*12)</f>
        <v>0</v>
      </c>
      <c r="M281" s="114">
        <f>(Simulation!$C$20/12*(1+Simulation!$F$19)^INT((B281-1)/12)+F281)*(B281&lt;=Simulation!$F$24*12)</f>
        <v>0</v>
      </c>
      <c r="N281" s="114">
        <f ca="1">SUMIF('Détail fiscalité'!$B$8:$B$37,INT(B281/12),'Détail fiscalité'!$CI$8:$CI$37)/12+SUMIF('Détail fiscalité'!$B$8:$B$37,B281/12,'Détail fiscalité'!$CI$8:$CI$37)-SUMIF('Détail fiscalité'!$B$8:$B$37,B281/12-1,'Détail fiscalité'!$CI$8:$CI$37)</f>
        <v>0</v>
      </c>
      <c r="O281" s="116">
        <f t="shared" ca="1" si="24"/>
        <v>0</v>
      </c>
    </row>
    <row r="282" spans="2:15" x14ac:dyDescent="0.15">
      <c r="B282" s="40">
        <f t="shared" si="23"/>
        <v>275</v>
      </c>
      <c r="C282" s="113">
        <f>IF(B282&lt;=MIN(Simulation!$F$10*12+Simulation!$F$12*OR(Simulation!$F$11="Amortissable différé partiel",Simulation!$F$11="Amortissable différé total"),Simulation!$F$24*12),IF(AND(B282&lt;=Simulation!$F$12,OR(Simulation!$F$11="Amortissable différé partiel",Simulation!$F$11="Amortissable différé total")),C281*(1+(Simulation!$F$11="Amortissable différé total")*Simulation!$F$8/12),C281-D282),0)</f>
        <v>0</v>
      </c>
      <c r="D282" s="114">
        <f>IF(B282&lt;=MIN(Simulation!$F$10*12+Simulation!$F$12*OR(Simulation!$F$11="Amortissable différé partiel",Simulation!$F$11="Amortissable différé total"),Simulation!$F$24*12),G282-E282,0)</f>
        <v>0</v>
      </c>
      <c r="E282" s="114">
        <f>IF(B282&lt;=MIN(Simulation!$F$10*12+Simulation!$F$12*OR(Simulation!$F$11="Amortissable différé partiel",Simulation!$F$11="Amortissable différé total"),Simulation!$F$24*12),IF(AND(B282&lt;=Simulation!$F$12,Simulation!$F$11="Amortissable différé total"),0,C281*Simulation!$F$8/12),0)</f>
        <v>0</v>
      </c>
      <c r="F282" s="114">
        <f>IF(B282&lt;=MIN(Simulation!$F$10*12+Simulation!$F$12*OR(Simulation!$F$11="Amortissable différé partiel",Simulation!$F$11="Amortissable différé total"),Simulation!$F$24*12),Simulation!$E$33*Simulation!$F$9/12,0)</f>
        <v>0</v>
      </c>
      <c r="G282" s="115">
        <f>IF(B282&lt;=MIN(Simulation!$F$10*12+Simulation!$F$12*OR(Simulation!$F$11="Amortissable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partiel",IF(B282&lt;=Simulation!$F$12,Simulation!$E$33*Simulation!$F$8/12,PMT(Simulation!$F$8/12,Simulation!$F$10*12,-Simulation!$E$34)),IF(Simulation!$F$11="Amortissable différé total",IF(B282&lt;=Simulation!$F$12,0,PMT(Simulation!$F$8/12,Simulation!$F$10*12,-Simulation!$E$34)),IF(Simulation!$F$11="In fine",IF(B282=Simulation!$F$10*12,Simulation!$E$34,Simulation!$F$8*Simulation!$E$34/12),0)))),0)</f>
        <v>0</v>
      </c>
      <c r="H282" s="113">
        <f>Simulation!$C$16/12*(1+Simulation!$F$15)^INT((B282-1)/12)*(B282&lt;=Simulation!$F$24*12)</f>
        <v>0</v>
      </c>
      <c r="I282" s="114">
        <f>(Simulation!$F$22-VLOOKUP(Simulation!$C$27,'Comparatif fiscal'!$B$8:$E$17,4,FALSE)-C282)*(B282=Simulation!$F$24*12)</f>
        <v>0</v>
      </c>
      <c r="J282" s="114">
        <f>(Simulation!$C$21+Simulation!$C$22)/12*(1+Simulation!$F$17)^INT((B282-1)/12)*(B282&lt;=Simulation!$F$24*12)</f>
        <v>0</v>
      </c>
      <c r="K282" s="114">
        <f>(H282*Simulation!$C$24+Simulation!$C$23/12*(1+Simulation!$F$15)^INT((B282-1)/12))*(B282&lt;=Simulation!$F$24*12)</f>
        <v>0</v>
      </c>
      <c r="L282" s="114">
        <f>Simulation!$C$19/12*(1+Simulation!$F$18)^INT((B282-1)/12)*(B282&lt;=Simulation!$F$24*12)</f>
        <v>0</v>
      </c>
      <c r="M282" s="114">
        <f>(Simulation!$C$20/12*(1+Simulation!$F$19)^INT((B282-1)/12)+F282)*(B282&lt;=Simulation!$F$24*12)</f>
        <v>0</v>
      </c>
      <c r="N282" s="114">
        <f ca="1">SUMIF('Détail fiscalité'!$B$8:$B$37,INT(B282/12),'Détail fiscalité'!$CI$8:$CI$37)/12+SUMIF('Détail fiscalité'!$B$8:$B$37,B282/12,'Détail fiscalité'!$CI$8:$CI$37)-SUMIF('Détail fiscalité'!$B$8:$B$37,B282/12-1,'Détail fiscalité'!$CI$8:$CI$37)</f>
        <v>0</v>
      </c>
      <c r="O282" s="116">
        <f t="shared" ca="1" si="24"/>
        <v>0</v>
      </c>
    </row>
    <row r="283" spans="2:15" x14ac:dyDescent="0.15">
      <c r="B283" s="40">
        <f t="shared" si="23"/>
        <v>276</v>
      </c>
      <c r="C283" s="113">
        <f>IF(B283&lt;=MIN(Simulation!$F$10*12+Simulation!$F$12*OR(Simulation!$F$11="Amortissable différé partiel",Simulation!$F$11="Amortissable différé total"),Simulation!$F$24*12),IF(AND(B283&lt;=Simulation!$F$12,OR(Simulation!$F$11="Amortissable différé partiel",Simulation!$F$11="Amortissable différé total")),C282*(1+(Simulation!$F$11="Amortissable différé total")*Simulation!$F$8/12),C282-D283),0)</f>
        <v>0</v>
      </c>
      <c r="D283" s="114">
        <f>IF(B283&lt;=MIN(Simulation!$F$10*12+Simulation!$F$12*OR(Simulation!$F$11="Amortissable différé partiel",Simulation!$F$11="Amortissable différé total"),Simulation!$F$24*12),G283-E283,0)</f>
        <v>0</v>
      </c>
      <c r="E283" s="114">
        <f>IF(B283&lt;=MIN(Simulation!$F$10*12+Simulation!$F$12*OR(Simulation!$F$11="Amortissable différé partiel",Simulation!$F$11="Amortissable différé total"),Simulation!$F$24*12),IF(AND(B283&lt;=Simulation!$F$12,Simulation!$F$11="Amortissable différé total"),0,C282*Simulation!$F$8/12),0)</f>
        <v>0</v>
      </c>
      <c r="F283" s="114">
        <f>IF(B283&lt;=MIN(Simulation!$F$10*12+Simulation!$F$12*OR(Simulation!$F$11="Amortissable différé partiel",Simulation!$F$11="Amortissable différé total"),Simulation!$F$24*12),Simulation!$E$33*Simulation!$F$9/12,0)</f>
        <v>0</v>
      </c>
      <c r="G283" s="115">
        <f>IF(B283&lt;=MIN(Simulation!$F$10*12+Simulation!$F$12*OR(Simulation!$F$11="Amortissable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partiel",IF(B283&lt;=Simulation!$F$12,Simulation!$E$33*Simulation!$F$8/12,PMT(Simulation!$F$8/12,Simulation!$F$10*12,-Simulation!$E$34)),IF(Simulation!$F$11="Amortissable différé total",IF(B283&lt;=Simulation!$F$12,0,PMT(Simulation!$F$8/12,Simulation!$F$10*12,-Simulation!$E$34)),IF(Simulation!$F$11="In fine",IF(B283=Simulation!$F$10*12,Simulation!$E$34,Simulation!$F$8*Simulation!$E$34/12),0)))),0)</f>
        <v>0</v>
      </c>
      <c r="H283" s="113">
        <f>Simulation!$C$16/12*(1+Simulation!$F$15)^INT((B283-1)/12)*(B283&lt;=Simulation!$F$24*12)</f>
        <v>0</v>
      </c>
      <c r="I283" s="114">
        <f>(Simulation!$F$22-VLOOKUP(Simulation!$C$27,'Comparatif fiscal'!$B$8:$E$17,4,FALSE)-C283)*(B283=Simulation!$F$24*12)</f>
        <v>0</v>
      </c>
      <c r="J283" s="114">
        <f>(Simulation!$C$21+Simulation!$C$22)/12*(1+Simulation!$F$17)^INT((B283-1)/12)*(B283&lt;=Simulation!$F$24*12)</f>
        <v>0</v>
      </c>
      <c r="K283" s="114">
        <f>(H283*Simulation!$C$24+Simulation!$C$23/12*(1+Simulation!$F$15)^INT((B283-1)/12))*(B283&lt;=Simulation!$F$24*12)</f>
        <v>0</v>
      </c>
      <c r="L283" s="114">
        <f>Simulation!$C$19/12*(1+Simulation!$F$18)^INT((B283-1)/12)*(B283&lt;=Simulation!$F$24*12)</f>
        <v>0</v>
      </c>
      <c r="M283" s="114">
        <f>(Simulation!$C$20/12*(1+Simulation!$F$19)^INT((B283-1)/12)+F283)*(B283&lt;=Simulation!$F$24*12)</f>
        <v>0</v>
      </c>
      <c r="N283" s="114">
        <f ca="1">SUMIF('Détail fiscalité'!$B$8:$B$37,INT(B283/12),'Détail fiscalité'!$CI$8:$CI$37)/12+SUMIF('Détail fiscalité'!$B$8:$B$37,B283/12,'Détail fiscalité'!$CI$8:$CI$37)-SUMIF('Détail fiscalité'!$B$8:$B$37,B283/12-1,'Détail fiscalité'!$CI$8:$CI$37)</f>
        <v>0</v>
      </c>
      <c r="O283" s="116">
        <f t="shared" ca="1" si="24"/>
        <v>0</v>
      </c>
    </row>
    <row r="284" spans="2:15" x14ac:dyDescent="0.15">
      <c r="B284" s="40">
        <f t="shared" si="23"/>
        <v>277</v>
      </c>
      <c r="C284" s="113">
        <f>IF(B284&lt;=MIN(Simulation!$F$10*12+Simulation!$F$12*OR(Simulation!$F$11="Amortissable différé partiel",Simulation!$F$11="Amortissable différé total"),Simulation!$F$24*12),IF(AND(B284&lt;=Simulation!$F$12,OR(Simulation!$F$11="Amortissable différé partiel",Simulation!$F$11="Amortissable différé total")),C283*(1+(Simulation!$F$11="Amortissable différé total")*Simulation!$F$8/12),C283-D284),0)</f>
        <v>0</v>
      </c>
      <c r="D284" s="114">
        <f>IF(B284&lt;=MIN(Simulation!$F$10*12+Simulation!$F$12*OR(Simulation!$F$11="Amortissable différé partiel",Simulation!$F$11="Amortissable différé total"),Simulation!$F$24*12),G284-E284,0)</f>
        <v>0</v>
      </c>
      <c r="E284" s="114">
        <f>IF(B284&lt;=MIN(Simulation!$F$10*12+Simulation!$F$12*OR(Simulation!$F$11="Amortissable différé partiel",Simulation!$F$11="Amortissable différé total"),Simulation!$F$24*12),IF(AND(B284&lt;=Simulation!$F$12,Simulation!$F$11="Amortissable différé total"),0,C283*Simulation!$F$8/12),0)</f>
        <v>0</v>
      </c>
      <c r="F284" s="114">
        <f>IF(B284&lt;=MIN(Simulation!$F$10*12+Simulation!$F$12*OR(Simulation!$F$11="Amortissable différé partiel",Simulation!$F$11="Amortissable différé total"),Simulation!$F$24*12),Simulation!$E$33*Simulation!$F$9/12,0)</f>
        <v>0</v>
      </c>
      <c r="G284" s="115">
        <f>IF(B284&lt;=MIN(Simulation!$F$10*12+Simulation!$F$12*OR(Simulation!$F$11="Amortissable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partiel",IF(B284&lt;=Simulation!$F$12,Simulation!$E$33*Simulation!$F$8/12,PMT(Simulation!$F$8/12,Simulation!$F$10*12,-Simulation!$E$34)),IF(Simulation!$F$11="Amortissable différé total",IF(B284&lt;=Simulation!$F$12,0,PMT(Simulation!$F$8/12,Simulation!$F$10*12,-Simulation!$E$34)),IF(Simulation!$F$11="In fine",IF(B284=Simulation!$F$10*12,Simulation!$E$34,Simulation!$F$8*Simulation!$E$34/12),0)))),0)</f>
        <v>0</v>
      </c>
      <c r="H284" s="113">
        <f>Simulation!$C$16/12*(1+Simulation!$F$15)^INT((B284-1)/12)*(B284&lt;=Simulation!$F$24*12)</f>
        <v>0</v>
      </c>
      <c r="I284" s="114">
        <f>(Simulation!$F$22-VLOOKUP(Simulation!$C$27,'Comparatif fiscal'!$B$8:$E$17,4,FALSE)-C284)*(B284=Simulation!$F$24*12)</f>
        <v>0</v>
      </c>
      <c r="J284" s="114">
        <f>(Simulation!$C$21+Simulation!$C$22)/12*(1+Simulation!$F$17)^INT((B284-1)/12)*(B284&lt;=Simulation!$F$24*12)</f>
        <v>0</v>
      </c>
      <c r="K284" s="114">
        <f>(H284*Simulation!$C$24+Simulation!$C$23/12*(1+Simulation!$F$15)^INT((B284-1)/12))*(B284&lt;=Simulation!$F$24*12)</f>
        <v>0</v>
      </c>
      <c r="L284" s="114">
        <f>Simulation!$C$19/12*(1+Simulation!$F$18)^INT((B284-1)/12)*(B284&lt;=Simulation!$F$24*12)</f>
        <v>0</v>
      </c>
      <c r="M284" s="114">
        <f>(Simulation!$C$20/12*(1+Simulation!$F$19)^INT((B284-1)/12)+F284)*(B284&lt;=Simulation!$F$24*12)</f>
        <v>0</v>
      </c>
      <c r="N284" s="114">
        <f ca="1">SUMIF('Détail fiscalité'!$B$8:$B$37,INT(B284/12),'Détail fiscalité'!$CI$8:$CI$37)/12+SUMIF('Détail fiscalité'!$B$8:$B$37,B284/12,'Détail fiscalité'!$CI$8:$CI$37)-SUMIF('Détail fiscalité'!$B$8:$B$37,B284/12-1,'Détail fiscalité'!$CI$8:$CI$37)</f>
        <v>0</v>
      </c>
      <c r="O284" s="116">
        <f t="shared" ca="1" si="24"/>
        <v>0</v>
      </c>
    </row>
    <row r="285" spans="2:15" x14ac:dyDescent="0.15">
      <c r="B285" s="40">
        <f t="shared" si="23"/>
        <v>278</v>
      </c>
      <c r="C285" s="113">
        <f>IF(B285&lt;=MIN(Simulation!$F$10*12+Simulation!$F$12*OR(Simulation!$F$11="Amortissable différé partiel",Simulation!$F$11="Amortissable différé total"),Simulation!$F$24*12),IF(AND(B285&lt;=Simulation!$F$12,OR(Simulation!$F$11="Amortissable différé partiel",Simulation!$F$11="Amortissable différé total")),C284*(1+(Simulation!$F$11="Amortissable différé total")*Simulation!$F$8/12),C284-D285),0)</f>
        <v>0</v>
      </c>
      <c r="D285" s="114">
        <f>IF(B285&lt;=MIN(Simulation!$F$10*12+Simulation!$F$12*OR(Simulation!$F$11="Amortissable différé partiel",Simulation!$F$11="Amortissable différé total"),Simulation!$F$24*12),G285-E285,0)</f>
        <v>0</v>
      </c>
      <c r="E285" s="114">
        <f>IF(B285&lt;=MIN(Simulation!$F$10*12+Simulation!$F$12*OR(Simulation!$F$11="Amortissable différé partiel",Simulation!$F$11="Amortissable différé total"),Simulation!$F$24*12),IF(AND(B285&lt;=Simulation!$F$12,Simulation!$F$11="Amortissable différé total"),0,C284*Simulation!$F$8/12),0)</f>
        <v>0</v>
      </c>
      <c r="F285" s="114">
        <f>IF(B285&lt;=MIN(Simulation!$F$10*12+Simulation!$F$12*OR(Simulation!$F$11="Amortissable différé partiel",Simulation!$F$11="Amortissable différé total"),Simulation!$F$24*12),Simulation!$E$33*Simulation!$F$9/12,0)</f>
        <v>0</v>
      </c>
      <c r="G285" s="115">
        <f>IF(B285&lt;=MIN(Simulation!$F$10*12+Simulation!$F$12*OR(Simulation!$F$11="Amortissable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partiel",IF(B285&lt;=Simulation!$F$12,Simulation!$E$33*Simulation!$F$8/12,PMT(Simulation!$F$8/12,Simulation!$F$10*12,-Simulation!$E$34)),IF(Simulation!$F$11="Amortissable différé total",IF(B285&lt;=Simulation!$F$12,0,PMT(Simulation!$F$8/12,Simulation!$F$10*12,-Simulation!$E$34)),IF(Simulation!$F$11="In fine",IF(B285=Simulation!$F$10*12,Simulation!$E$34,Simulation!$F$8*Simulation!$E$34/12),0)))),0)</f>
        <v>0</v>
      </c>
      <c r="H285" s="113">
        <f>Simulation!$C$16/12*(1+Simulation!$F$15)^INT((B285-1)/12)*(B285&lt;=Simulation!$F$24*12)</f>
        <v>0</v>
      </c>
      <c r="I285" s="114">
        <f>(Simulation!$F$22-VLOOKUP(Simulation!$C$27,'Comparatif fiscal'!$B$8:$E$17,4,FALSE)-C285)*(B285=Simulation!$F$24*12)</f>
        <v>0</v>
      </c>
      <c r="J285" s="114">
        <f>(Simulation!$C$21+Simulation!$C$22)/12*(1+Simulation!$F$17)^INT((B285-1)/12)*(B285&lt;=Simulation!$F$24*12)</f>
        <v>0</v>
      </c>
      <c r="K285" s="114">
        <f>(H285*Simulation!$C$24+Simulation!$C$23/12*(1+Simulation!$F$15)^INT((B285-1)/12))*(B285&lt;=Simulation!$F$24*12)</f>
        <v>0</v>
      </c>
      <c r="L285" s="114">
        <f>Simulation!$C$19/12*(1+Simulation!$F$18)^INT((B285-1)/12)*(B285&lt;=Simulation!$F$24*12)</f>
        <v>0</v>
      </c>
      <c r="M285" s="114">
        <f>(Simulation!$C$20/12*(1+Simulation!$F$19)^INT((B285-1)/12)+F285)*(B285&lt;=Simulation!$F$24*12)</f>
        <v>0</v>
      </c>
      <c r="N285" s="114">
        <f ca="1">SUMIF('Détail fiscalité'!$B$8:$B$37,INT(B285/12),'Détail fiscalité'!$CI$8:$CI$37)/12+SUMIF('Détail fiscalité'!$B$8:$B$37,B285/12,'Détail fiscalité'!$CI$8:$CI$37)-SUMIF('Détail fiscalité'!$B$8:$B$37,B285/12-1,'Détail fiscalité'!$CI$8:$CI$37)</f>
        <v>0</v>
      </c>
      <c r="O285" s="116">
        <f t="shared" ca="1" si="24"/>
        <v>0</v>
      </c>
    </row>
    <row r="286" spans="2:15" x14ac:dyDescent="0.15">
      <c r="B286" s="40">
        <f t="shared" si="23"/>
        <v>279</v>
      </c>
      <c r="C286" s="113">
        <f>IF(B286&lt;=MIN(Simulation!$F$10*12+Simulation!$F$12*OR(Simulation!$F$11="Amortissable différé partiel",Simulation!$F$11="Amortissable différé total"),Simulation!$F$24*12),IF(AND(B286&lt;=Simulation!$F$12,OR(Simulation!$F$11="Amortissable différé partiel",Simulation!$F$11="Amortissable différé total")),C285*(1+(Simulation!$F$11="Amortissable différé total")*Simulation!$F$8/12),C285-D286),0)</f>
        <v>0</v>
      </c>
      <c r="D286" s="114">
        <f>IF(B286&lt;=MIN(Simulation!$F$10*12+Simulation!$F$12*OR(Simulation!$F$11="Amortissable différé partiel",Simulation!$F$11="Amortissable différé total"),Simulation!$F$24*12),G286-E286,0)</f>
        <v>0</v>
      </c>
      <c r="E286" s="114">
        <f>IF(B286&lt;=MIN(Simulation!$F$10*12+Simulation!$F$12*OR(Simulation!$F$11="Amortissable différé partiel",Simulation!$F$11="Amortissable différé total"),Simulation!$F$24*12),IF(AND(B286&lt;=Simulation!$F$12,Simulation!$F$11="Amortissable différé total"),0,C285*Simulation!$F$8/12),0)</f>
        <v>0</v>
      </c>
      <c r="F286" s="114">
        <f>IF(B286&lt;=MIN(Simulation!$F$10*12+Simulation!$F$12*OR(Simulation!$F$11="Amortissable différé partiel",Simulation!$F$11="Amortissable différé total"),Simulation!$F$24*12),Simulation!$E$33*Simulation!$F$9/12,0)</f>
        <v>0</v>
      </c>
      <c r="G286" s="115">
        <f>IF(B286&lt;=MIN(Simulation!$F$10*12+Simulation!$F$12*OR(Simulation!$F$11="Amortissable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partiel",IF(B286&lt;=Simulation!$F$12,Simulation!$E$33*Simulation!$F$8/12,PMT(Simulation!$F$8/12,Simulation!$F$10*12,-Simulation!$E$34)),IF(Simulation!$F$11="Amortissable différé total",IF(B286&lt;=Simulation!$F$12,0,PMT(Simulation!$F$8/12,Simulation!$F$10*12,-Simulation!$E$34)),IF(Simulation!$F$11="In fine",IF(B286=Simulation!$F$10*12,Simulation!$E$34,Simulation!$F$8*Simulation!$E$34/12),0)))),0)</f>
        <v>0</v>
      </c>
      <c r="H286" s="113">
        <f>Simulation!$C$16/12*(1+Simulation!$F$15)^INT((B286-1)/12)*(B286&lt;=Simulation!$F$24*12)</f>
        <v>0</v>
      </c>
      <c r="I286" s="114">
        <f>(Simulation!$F$22-VLOOKUP(Simulation!$C$27,'Comparatif fiscal'!$B$8:$E$17,4,FALSE)-C286)*(B286=Simulation!$F$24*12)</f>
        <v>0</v>
      </c>
      <c r="J286" s="114">
        <f>(Simulation!$C$21+Simulation!$C$22)/12*(1+Simulation!$F$17)^INT((B286-1)/12)*(B286&lt;=Simulation!$F$24*12)</f>
        <v>0</v>
      </c>
      <c r="K286" s="114">
        <f>(H286*Simulation!$C$24+Simulation!$C$23/12*(1+Simulation!$F$15)^INT((B286-1)/12))*(B286&lt;=Simulation!$F$24*12)</f>
        <v>0</v>
      </c>
      <c r="L286" s="114">
        <f>Simulation!$C$19/12*(1+Simulation!$F$18)^INT((B286-1)/12)*(B286&lt;=Simulation!$F$24*12)</f>
        <v>0</v>
      </c>
      <c r="M286" s="114">
        <f>(Simulation!$C$20/12*(1+Simulation!$F$19)^INT((B286-1)/12)+F286)*(B286&lt;=Simulation!$F$24*12)</f>
        <v>0</v>
      </c>
      <c r="N286" s="114">
        <f ca="1">SUMIF('Détail fiscalité'!$B$8:$B$37,INT(B286/12),'Détail fiscalité'!$CI$8:$CI$37)/12+SUMIF('Détail fiscalité'!$B$8:$B$37,B286/12,'Détail fiscalité'!$CI$8:$CI$37)-SUMIF('Détail fiscalité'!$B$8:$B$37,B286/12-1,'Détail fiscalité'!$CI$8:$CI$37)</f>
        <v>0</v>
      </c>
      <c r="O286" s="116">
        <f t="shared" ca="1" si="24"/>
        <v>0</v>
      </c>
    </row>
    <row r="287" spans="2:15" x14ac:dyDescent="0.15">
      <c r="B287" s="40">
        <f t="shared" si="23"/>
        <v>280</v>
      </c>
      <c r="C287" s="113">
        <f>IF(B287&lt;=MIN(Simulation!$F$10*12+Simulation!$F$12*OR(Simulation!$F$11="Amortissable différé partiel",Simulation!$F$11="Amortissable différé total"),Simulation!$F$24*12),IF(AND(B287&lt;=Simulation!$F$12,OR(Simulation!$F$11="Amortissable différé partiel",Simulation!$F$11="Amortissable différé total")),C286*(1+(Simulation!$F$11="Amortissable différé total")*Simulation!$F$8/12),C286-D287),0)</f>
        <v>0</v>
      </c>
      <c r="D287" s="114">
        <f>IF(B287&lt;=MIN(Simulation!$F$10*12+Simulation!$F$12*OR(Simulation!$F$11="Amortissable différé partiel",Simulation!$F$11="Amortissable différé total"),Simulation!$F$24*12),G287-E287,0)</f>
        <v>0</v>
      </c>
      <c r="E287" s="114">
        <f>IF(B287&lt;=MIN(Simulation!$F$10*12+Simulation!$F$12*OR(Simulation!$F$11="Amortissable différé partiel",Simulation!$F$11="Amortissable différé total"),Simulation!$F$24*12),IF(AND(B287&lt;=Simulation!$F$12,Simulation!$F$11="Amortissable différé total"),0,C286*Simulation!$F$8/12),0)</f>
        <v>0</v>
      </c>
      <c r="F287" s="114">
        <f>IF(B287&lt;=MIN(Simulation!$F$10*12+Simulation!$F$12*OR(Simulation!$F$11="Amortissable différé partiel",Simulation!$F$11="Amortissable différé total"),Simulation!$F$24*12),Simulation!$E$33*Simulation!$F$9/12,0)</f>
        <v>0</v>
      </c>
      <c r="G287" s="115">
        <f>IF(B287&lt;=MIN(Simulation!$F$10*12+Simulation!$F$12*OR(Simulation!$F$11="Amortissable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partiel",IF(B287&lt;=Simulation!$F$12,Simulation!$E$33*Simulation!$F$8/12,PMT(Simulation!$F$8/12,Simulation!$F$10*12,-Simulation!$E$34)),IF(Simulation!$F$11="Amortissable différé total",IF(B287&lt;=Simulation!$F$12,0,PMT(Simulation!$F$8/12,Simulation!$F$10*12,-Simulation!$E$34)),IF(Simulation!$F$11="In fine",IF(B287=Simulation!$F$10*12,Simulation!$E$34,Simulation!$F$8*Simulation!$E$34/12),0)))),0)</f>
        <v>0</v>
      </c>
      <c r="H287" s="113">
        <f>Simulation!$C$16/12*(1+Simulation!$F$15)^INT((B287-1)/12)*(B287&lt;=Simulation!$F$24*12)</f>
        <v>0</v>
      </c>
      <c r="I287" s="114">
        <f>(Simulation!$F$22-VLOOKUP(Simulation!$C$27,'Comparatif fiscal'!$B$8:$E$17,4,FALSE)-C287)*(B287=Simulation!$F$24*12)</f>
        <v>0</v>
      </c>
      <c r="J287" s="114">
        <f>(Simulation!$C$21+Simulation!$C$22)/12*(1+Simulation!$F$17)^INT((B287-1)/12)*(B287&lt;=Simulation!$F$24*12)</f>
        <v>0</v>
      </c>
      <c r="K287" s="114">
        <f>(H287*Simulation!$C$24+Simulation!$C$23/12*(1+Simulation!$F$15)^INT((B287-1)/12))*(B287&lt;=Simulation!$F$24*12)</f>
        <v>0</v>
      </c>
      <c r="L287" s="114">
        <f>Simulation!$C$19/12*(1+Simulation!$F$18)^INT((B287-1)/12)*(B287&lt;=Simulation!$F$24*12)</f>
        <v>0</v>
      </c>
      <c r="M287" s="114">
        <f>(Simulation!$C$20/12*(1+Simulation!$F$19)^INT((B287-1)/12)+F287)*(B287&lt;=Simulation!$F$24*12)</f>
        <v>0</v>
      </c>
      <c r="N287" s="114">
        <f ca="1">SUMIF('Détail fiscalité'!$B$8:$B$37,INT(B287/12),'Détail fiscalité'!$CI$8:$CI$37)/12+SUMIF('Détail fiscalité'!$B$8:$B$37,B287/12,'Détail fiscalité'!$CI$8:$CI$37)-SUMIF('Détail fiscalité'!$B$8:$B$37,B287/12-1,'Détail fiscalité'!$CI$8:$CI$37)</f>
        <v>0</v>
      </c>
      <c r="O287" s="116">
        <f t="shared" ca="1" si="24"/>
        <v>0</v>
      </c>
    </row>
    <row r="288" spans="2:15" x14ac:dyDescent="0.15">
      <c r="B288" s="40">
        <f t="shared" si="23"/>
        <v>281</v>
      </c>
      <c r="C288" s="113">
        <f>IF(B288&lt;=MIN(Simulation!$F$10*12+Simulation!$F$12*OR(Simulation!$F$11="Amortissable différé partiel",Simulation!$F$11="Amortissable différé total"),Simulation!$F$24*12),IF(AND(B288&lt;=Simulation!$F$12,OR(Simulation!$F$11="Amortissable différé partiel",Simulation!$F$11="Amortissable différé total")),C287*(1+(Simulation!$F$11="Amortissable différé total")*Simulation!$F$8/12),C287-D288),0)</f>
        <v>0</v>
      </c>
      <c r="D288" s="114">
        <f>IF(B288&lt;=MIN(Simulation!$F$10*12+Simulation!$F$12*OR(Simulation!$F$11="Amortissable différé partiel",Simulation!$F$11="Amortissable différé total"),Simulation!$F$24*12),G288-E288,0)</f>
        <v>0</v>
      </c>
      <c r="E288" s="114">
        <f>IF(B288&lt;=MIN(Simulation!$F$10*12+Simulation!$F$12*OR(Simulation!$F$11="Amortissable différé partiel",Simulation!$F$11="Amortissable différé total"),Simulation!$F$24*12),IF(AND(B288&lt;=Simulation!$F$12,Simulation!$F$11="Amortissable différé total"),0,C287*Simulation!$F$8/12),0)</f>
        <v>0</v>
      </c>
      <c r="F288" s="114">
        <f>IF(B288&lt;=MIN(Simulation!$F$10*12+Simulation!$F$12*OR(Simulation!$F$11="Amortissable différé partiel",Simulation!$F$11="Amortissable différé total"),Simulation!$F$24*12),Simulation!$E$33*Simulation!$F$9/12,0)</f>
        <v>0</v>
      </c>
      <c r="G288" s="115">
        <f>IF(B288&lt;=MIN(Simulation!$F$10*12+Simulation!$F$12*OR(Simulation!$F$11="Amortissable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partiel",IF(B288&lt;=Simulation!$F$12,Simulation!$E$33*Simulation!$F$8/12,PMT(Simulation!$F$8/12,Simulation!$F$10*12,-Simulation!$E$34)),IF(Simulation!$F$11="Amortissable différé total",IF(B288&lt;=Simulation!$F$12,0,PMT(Simulation!$F$8/12,Simulation!$F$10*12,-Simulation!$E$34)),IF(Simulation!$F$11="In fine",IF(B288=Simulation!$F$10*12,Simulation!$E$34,Simulation!$F$8*Simulation!$E$34/12),0)))),0)</f>
        <v>0</v>
      </c>
      <c r="H288" s="113">
        <f>Simulation!$C$16/12*(1+Simulation!$F$15)^INT((B288-1)/12)*(B288&lt;=Simulation!$F$24*12)</f>
        <v>0</v>
      </c>
      <c r="I288" s="114">
        <f>(Simulation!$F$22-VLOOKUP(Simulation!$C$27,'Comparatif fiscal'!$B$8:$E$17,4,FALSE)-C288)*(B288=Simulation!$F$24*12)</f>
        <v>0</v>
      </c>
      <c r="J288" s="114">
        <f>(Simulation!$C$21+Simulation!$C$22)/12*(1+Simulation!$F$17)^INT((B288-1)/12)*(B288&lt;=Simulation!$F$24*12)</f>
        <v>0</v>
      </c>
      <c r="K288" s="114">
        <f>(H288*Simulation!$C$24+Simulation!$C$23/12*(1+Simulation!$F$15)^INT((B288-1)/12))*(B288&lt;=Simulation!$F$24*12)</f>
        <v>0</v>
      </c>
      <c r="L288" s="114">
        <f>Simulation!$C$19/12*(1+Simulation!$F$18)^INT((B288-1)/12)*(B288&lt;=Simulation!$F$24*12)</f>
        <v>0</v>
      </c>
      <c r="M288" s="114">
        <f>(Simulation!$C$20/12*(1+Simulation!$F$19)^INT((B288-1)/12)+F288)*(B288&lt;=Simulation!$F$24*12)</f>
        <v>0</v>
      </c>
      <c r="N288" s="114">
        <f ca="1">SUMIF('Détail fiscalité'!$B$8:$B$37,INT(B288/12),'Détail fiscalité'!$CI$8:$CI$37)/12+SUMIF('Détail fiscalité'!$B$8:$B$37,B288/12,'Détail fiscalité'!$CI$8:$CI$37)-SUMIF('Détail fiscalité'!$B$8:$B$37,B288/12-1,'Détail fiscalité'!$CI$8:$CI$37)</f>
        <v>0</v>
      </c>
      <c r="O288" s="116">
        <f t="shared" ca="1" si="24"/>
        <v>0</v>
      </c>
    </row>
    <row r="289" spans="2:15" x14ac:dyDescent="0.15">
      <c r="B289" s="40">
        <f t="shared" si="23"/>
        <v>282</v>
      </c>
      <c r="C289" s="113">
        <f>IF(B289&lt;=MIN(Simulation!$F$10*12+Simulation!$F$12*OR(Simulation!$F$11="Amortissable différé partiel",Simulation!$F$11="Amortissable différé total"),Simulation!$F$24*12),IF(AND(B289&lt;=Simulation!$F$12,OR(Simulation!$F$11="Amortissable différé partiel",Simulation!$F$11="Amortissable différé total")),C288*(1+(Simulation!$F$11="Amortissable différé total")*Simulation!$F$8/12),C288-D289),0)</f>
        <v>0</v>
      </c>
      <c r="D289" s="114">
        <f>IF(B289&lt;=MIN(Simulation!$F$10*12+Simulation!$F$12*OR(Simulation!$F$11="Amortissable différé partiel",Simulation!$F$11="Amortissable différé total"),Simulation!$F$24*12),G289-E289,0)</f>
        <v>0</v>
      </c>
      <c r="E289" s="114">
        <f>IF(B289&lt;=MIN(Simulation!$F$10*12+Simulation!$F$12*OR(Simulation!$F$11="Amortissable différé partiel",Simulation!$F$11="Amortissable différé total"),Simulation!$F$24*12),IF(AND(B289&lt;=Simulation!$F$12,Simulation!$F$11="Amortissable différé total"),0,C288*Simulation!$F$8/12),0)</f>
        <v>0</v>
      </c>
      <c r="F289" s="114">
        <f>IF(B289&lt;=MIN(Simulation!$F$10*12+Simulation!$F$12*OR(Simulation!$F$11="Amortissable différé partiel",Simulation!$F$11="Amortissable différé total"),Simulation!$F$24*12),Simulation!$E$33*Simulation!$F$9/12,0)</f>
        <v>0</v>
      </c>
      <c r="G289" s="115">
        <f>IF(B289&lt;=MIN(Simulation!$F$10*12+Simulation!$F$12*OR(Simulation!$F$11="Amortissable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partiel",IF(B289&lt;=Simulation!$F$12,Simulation!$E$33*Simulation!$F$8/12,PMT(Simulation!$F$8/12,Simulation!$F$10*12,-Simulation!$E$34)),IF(Simulation!$F$11="Amortissable différé total",IF(B289&lt;=Simulation!$F$12,0,PMT(Simulation!$F$8/12,Simulation!$F$10*12,-Simulation!$E$34)),IF(Simulation!$F$11="In fine",IF(B289=Simulation!$F$10*12,Simulation!$E$34,Simulation!$F$8*Simulation!$E$34/12),0)))),0)</f>
        <v>0</v>
      </c>
      <c r="H289" s="113">
        <f>Simulation!$C$16/12*(1+Simulation!$F$15)^INT((B289-1)/12)*(B289&lt;=Simulation!$F$24*12)</f>
        <v>0</v>
      </c>
      <c r="I289" s="114">
        <f>(Simulation!$F$22-VLOOKUP(Simulation!$C$27,'Comparatif fiscal'!$B$8:$E$17,4,FALSE)-C289)*(B289=Simulation!$F$24*12)</f>
        <v>0</v>
      </c>
      <c r="J289" s="114">
        <f>(Simulation!$C$21+Simulation!$C$22)/12*(1+Simulation!$F$17)^INT((B289-1)/12)*(B289&lt;=Simulation!$F$24*12)</f>
        <v>0</v>
      </c>
      <c r="K289" s="114">
        <f>(H289*Simulation!$C$24+Simulation!$C$23/12*(1+Simulation!$F$15)^INT((B289-1)/12))*(B289&lt;=Simulation!$F$24*12)</f>
        <v>0</v>
      </c>
      <c r="L289" s="114">
        <f>Simulation!$C$19/12*(1+Simulation!$F$18)^INT((B289-1)/12)*(B289&lt;=Simulation!$F$24*12)</f>
        <v>0</v>
      </c>
      <c r="M289" s="114">
        <f>(Simulation!$C$20/12*(1+Simulation!$F$19)^INT((B289-1)/12)+F289)*(B289&lt;=Simulation!$F$24*12)</f>
        <v>0</v>
      </c>
      <c r="N289" s="114">
        <f ca="1">SUMIF('Détail fiscalité'!$B$8:$B$37,INT(B289/12),'Détail fiscalité'!$CI$8:$CI$37)/12+SUMIF('Détail fiscalité'!$B$8:$B$37,B289/12,'Détail fiscalité'!$CI$8:$CI$37)-SUMIF('Détail fiscalité'!$B$8:$B$37,B289/12-1,'Détail fiscalité'!$CI$8:$CI$37)</f>
        <v>0</v>
      </c>
      <c r="O289" s="116">
        <f t="shared" ca="1" si="24"/>
        <v>0</v>
      </c>
    </row>
    <row r="290" spans="2:15" x14ac:dyDescent="0.15">
      <c r="B290" s="40">
        <f t="shared" si="23"/>
        <v>283</v>
      </c>
      <c r="C290" s="113">
        <f>IF(B290&lt;=MIN(Simulation!$F$10*12+Simulation!$F$12*OR(Simulation!$F$11="Amortissable différé partiel",Simulation!$F$11="Amortissable différé total"),Simulation!$F$24*12),IF(AND(B290&lt;=Simulation!$F$12,OR(Simulation!$F$11="Amortissable différé partiel",Simulation!$F$11="Amortissable différé total")),C289*(1+(Simulation!$F$11="Amortissable différé total")*Simulation!$F$8/12),C289-D290),0)</f>
        <v>0</v>
      </c>
      <c r="D290" s="114">
        <f>IF(B290&lt;=MIN(Simulation!$F$10*12+Simulation!$F$12*OR(Simulation!$F$11="Amortissable différé partiel",Simulation!$F$11="Amortissable différé total"),Simulation!$F$24*12),G290-E290,0)</f>
        <v>0</v>
      </c>
      <c r="E290" s="114">
        <f>IF(B290&lt;=MIN(Simulation!$F$10*12+Simulation!$F$12*OR(Simulation!$F$11="Amortissable différé partiel",Simulation!$F$11="Amortissable différé total"),Simulation!$F$24*12),IF(AND(B290&lt;=Simulation!$F$12,Simulation!$F$11="Amortissable différé total"),0,C289*Simulation!$F$8/12),0)</f>
        <v>0</v>
      </c>
      <c r="F290" s="114">
        <f>IF(B290&lt;=MIN(Simulation!$F$10*12+Simulation!$F$12*OR(Simulation!$F$11="Amortissable différé partiel",Simulation!$F$11="Amortissable différé total"),Simulation!$F$24*12),Simulation!$E$33*Simulation!$F$9/12,0)</f>
        <v>0</v>
      </c>
      <c r="G290" s="115">
        <f>IF(B290&lt;=MIN(Simulation!$F$10*12+Simulation!$F$12*OR(Simulation!$F$11="Amortissable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partiel",IF(B290&lt;=Simulation!$F$12,Simulation!$E$33*Simulation!$F$8/12,PMT(Simulation!$F$8/12,Simulation!$F$10*12,-Simulation!$E$34)),IF(Simulation!$F$11="Amortissable différé total",IF(B290&lt;=Simulation!$F$12,0,PMT(Simulation!$F$8/12,Simulation!$F$10*12,-Simulation!$E$34)),IF(Simulation!$F$11="In fine",IF(B290=Simulation!$F$10*12,Simulation!$E$34,Simulation!$F$8*Simulation!$E$34/12),0)))),0)</f>
        <v>0</v>
      </c>
      <c r="H290" s="113">
        <f>Simulation!$C$16/12*(1+Simulation!$F$15)^INT((B290-1)/12)*(B290&lt;=Simulation!$F$24*12)</f>
        <v>0</v>
      </c>
      <c r="I290" s="114">
        <f>(Simulation!$F$22-VLOOKUP(Simulation!$C$27,'Comparatif fiscal'!$B$8:$E$17,4,FALSE)-C290)*(B290=Simulation!$F$24*12)</f>
        <v>0</v>
      </c>
      <c r="J290" s="114">
        <f>(Simulation!$C$21+Simulation!$C$22)/12*(1+Simulation!$F$17)^INT((B290-1)/12)*(B290&lt;=Simulation!$F$24*12)</f>
        <v>0</v>
      </c>
      <c r="K290" s="114">
        <f>(H290*Simulation!$C$24+Simulation!$C$23/12*(1+Simulation!$F$15)^INT((B290-1)/12))*(B290&lt;=Simulation!$F$24*12)</f>
        <v>0</v>
      </c>
      <c r="L290" s="114">
        <f>Simulation!$C$19/12*(1+Simulation!$F$18)^INT((B290-1)/12)*(B290&lt;=Simulation!$F$24*12)</f>
        <v>0</v>
      </c>
      <c r="M290" s="114">
        <f>(Simulation!$C$20/12*(1+Simulation!$F$19)^INT((B290-1)/12)+F290)*(B290&lt;=Simulation!$F$24*12)</f>
        <v>0</v>
      </c>
      <c r="N290" s="114">
        <f ca="1">SUMIF('Détail fiscalité'!$B$8:$B$37,INT(B290/12),'Détail fiscalité'!$CI$8:$CI$37)/12+SUMIF('Détail fiscalité'!$B$8:$B$37,B290/12,'Détail fiscalité'!$CI$8:$CI$37)-SUMIF('Détail fiscalité'!$B$8:$B$37,B290/12-1,'Détail fiscalité'!$CI$8:$CI$37)</f>
        <v>0</v>
      </c>
      <c r="O290" s="116">
        <f t="shared" ca="1" si="24"/>
        <v>0</v>
      </c>
    </row>
    <row r="291" spans="2:15" x14ac:dyDescent="0.15">
      <c r="B291" s="40">
        <f t="shared" si="23"/>
        <v>284</v>
      </c>
      <c r="C291" s="113">
        <f>IF(B291&lt;=MIN(Simulation!$F$10*12+Simulation!$F$12*OR(Simulation!$F$11="Amortissable différé partiel",Simulation!$F$11="Amortissable différé total"),Simulation!$F$24*12),IF(AND(B291&lt;=Simulation!$F$12,OR(Simulation!$F$11="Amortissable différé partiel",Simulation!$F$11="Amortissable différé total")),C290*(1+(Simulation!$F$11="Amortissable différé total")*Simulation!$F$8/12),C290-D291),0)</f>
        <v>0</v>
      </c>
      <c r="D291" s="114">
        <f>IF(B291&lt;=MIN(Simulation!$F$10*12+Simulation!$F$12*OR(Simulation!$F$11="Amortissable différé partiel",Simulation!$F$11="Amortissable différé total"),Simulation!$F$24*12),G291-E291,0)</f>
        <v>0</v>
      </c>
      <c r="E291" s="114">
        <f>IF(B291&lt;=MIN(Simulation!$F$10*12+Simulation!$F$12*OR(Simulation!$F$11="Amortissable différé partiel",Simulation!$F$11="Amortissable différé total"),Simulation!$F$24*12),IF(AND(B291&lt;=Simulation!$F$12,Simulation!$F$11="Amortissable différé total"),0,C290*Simulation!$F$8/12),0)</f>
        <v>0</v>
      </c>
      <c r="F291" s="114">
        <f>IF(B291&lt;=MIN(Simulation!$F$10*12+Simulation!$F$12*OR(Simulation!$F$11="Amortissable différé partiel",Simulation!$F$11="Amortissable différé total"),Simulation!$F$24*12),Simulation!$E$33*Simulation!$F$9/12,0)</f>
        <v>0</v>
      </c>
      <c r="G291" s="115">
        <f>IF(B291&lt;=MIN(Simulation!$F$10*12+Simulation!$F$12*OR(Simulation!$F$11="Amortissable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partiel",IF(B291&lt;=Simulation!$F$12,Simulation!$E$33*Simulation!$F$8/12,PMT(Simulation!$F$8/12,Simulation!$F$10*12,-Simulation!$E$34)),IF(Simulation!$F$11="Amortissable différé total",IF(B291&lt;=Simulation!$F$12,0,PMT(Simulation!$F$8/12,Simulation!$F$10*12,-Simulation!$E$34)),IF(Simulation!$F$11="In fine",IF(B291=Simulation!$F$10*12,Simulation!$E$34,Simulation!$F$8*Simulation!$E$34/12),0)))),0)</f>
        <v>0</v>
      </c>
      <c r="H291" s="113">
        <f>Simulation!$C$16/12*(1+Simulation!$F$15)^INT((B291-1)/12)*(B291&lt;=Simulation!$F$24*12)</f>
        <v>0</v>
      </c>
      <c r="I291" s="114">
        <f>(Simulation!$F$22-VLOOKUP(Simulation!$C$27,'Comparatif fiscal'!$B$8:$E$17,4,FALSE)-C291)*(B291=Simulation!$F$24*12)</f>
        <v>0</v>
      </c>
      <c r="J291" s="114">
        <f>(Simulation!$C$21+Simulation!$C$22)/12*(1+Simulation!$F$17)^INT((B291-1)/12)*(B291&lt;=Simulation!$F$24*12)</f>
        <v>0</v>
      </c>
      <c r="K291" s="114">
        <f>(H291*Simulation!$C$24+Simulation!$C$23/12*(1+Simulation!$F$15)^INT((B291-1)/12))*(B291&lt;=Simulation!$F$24*12)</f>
        <v>0</v>
      </c>
      <c r="L291" s="114">
        <f>Simulation!$C$19/12*(1+Simulation!$F$18)^INT((B291-1)/12)*(B291&lt;=Simulation!$F$24*12)</f>
        <v>0</v>
      </c>
      <c r="M291" s="114">
        <f>(Simulation!$C$20/12*(1+Simulation!$F$19)^INT((B291-1)/12)+F291)*(B291&lt;=Simulation!$F$24*12)</f>
        <v>0</v>
      </c>
      <c r="N291" s="114">
        <f ca="1">SUMIF('Détail fiscalité'!$B$8:$B$37,INT(B291/12),'Détail fiscalité'!$CI$8:$CI$37)/12+SUMIF('Détail fiscalité'!$B$8:$B$37,B291/12,'Détail fiscalité'!$CI$8:$CI$37)-SUMIF('Détail fiscalité'!$B$8:$B$37,B291/12-1,'Détail fiscalité'!$CI$8:$CI$37)</f>
        <v>0</v>
      </c>
      <c r="O291" s="116">
        <f t="shared" ca="1" si="24"/>
        <v>0</v>
      </c>
    </row>
    <row r="292" spans="2:15" x14ac:dyDescent="0.15">
      <c r="B292" s="40">
        <f t="shared" si="23"/>
        <v>285</v>
      </c>
      <c r="C292" s="113">
        <f>IF(B292&lt;=MIN(Simulation!$F$10*12+Simulation!$F$12*OR(Simulation!$F$11="Amortissable différé partiel",Simulation!$F$11="Amortissable différé total"),Simulation!$F$24*12),IF(AND(B292&lt;=Simulation!$F$12,OR(Simulation!$F$11="Amortissable différé partiel",Simulation!$F$11="Amortissable différé total")),C291*(1+(Simulation!$F$11="Amortissable différé total")*Simulation!$F$8/12),C291-D292),0)</f>
        <v>0</v>
      </c>
      <c r="D292" s="114">
        <f>IF(B292&lt;=MIN(Simulation!$F$10*12+Simulation!$F$12*OR(Simulation!$F$11="Amortissable différé partiel",Simulation!$F$11="Amortissable différé total"),Simulation!$F$24*12),G292-E292,0)</f>
        <v>0</v>
      </c>
      <c r="E292" s="114">
        <f>IF(B292&lt;=MIN(Simulation!$F$10*12+Simulation!$F$12*OR(Simulation!$F$11="Amortissable différé partiel",Simulation!$F$11="Amortissable différé total"),Simulation!$F$24*12),IF(AND(B292&lt;=Simulation!$F$12,Simulation!$F$11="Amortissable différé total"),0,C291*Simulation!$F$8/12),0)</f>
        <v>0</v>
      </c>
      <c r="F292" s="114">
        <f>IF(B292&lt;=MIN(Simulation!$F$10*12+Simulation!$F$12*OR(Simulation!$F$11="Amortissable différé partiel",Simulation!$F$11="Amortissable différé total"),Simulation!$F$24*12),Simulation!$E$33*Simulation!$F$9/12,0)</f>
        <v>0</v>
      </c>
      <c r="G292" s="115">
        <f>IF(B292&lt;=MIN(Simulation!$F$10*12+Simulation!$F$12*OR(Simulation!$F$11="Amortissable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partiel",IF(B292&lt;=Simulation!$F$12,Simulation!$E$33*Simulation!$F$8/12,PMT(Simulation!$F$8/12,Simulation!$F$10*12,-Simulation!$E$34)),IF(Simulation!$F$11="Amortissable différé total",IF(B292&lt;=Simulation!$F$12,0,PMT(Simulation!$F$8/12,Simulation!$F$10*12,-Simulation!$E$34)),IF(Simulation!$F$11="In fine",IF(B292=Simulation!$F$10*12,Simulation!$E$34,Simulation!$F$8*Simulation!$E$34/12),0)))),0)</f>
        <v>0</v>
      </c>
      <c r="H292" s="113">
        <f>Simulation!$C$16/12*(1+Simulation!$F$15)^INT((B292-1)/12)*(B292&lt;=Simulation!$F$24*12)</f>
        <v>0</v>
      </c>
      <c r="I292" s="114">
        <f>(Simulation!$F$22-VLOOKUP(Simulation!$C$27,'Comparatif fiscal'!$B$8:$E$17,4,FALSE)-C292)*(B292=Simulation!$F$24*12)</f>
        <v>0</v>
      </c>
      <c r="J292" s="114">
        <f>(Simulation!$C$21+Simulation!$C$22)/12*(1+Simulation!$F$17)^INT((B292-1)/12)*(B292&lt;=Simulation!$F$24*12)</f>
        <v>0</v>
      </c>
      <c r="K292" s="114">
        <f>(H292*Simulation!$C$24+Simulation!$C$23/12*(1+Simulation!$F$15)^INT((B292-1)/12))*(B292&lt;=Simulation!$F$24*12)</f>
        <v>0</v>
      </c>
      <c r="L292" s="114">
        <f>Simulation!$C$19/12*(1+Simulation!$F$18)^INT((B292-1)/12)*(B292&lt;=Simulation!$F$24*12)</f>
        <v>0</v>
      </c>
      <c r="M292" s="114">
        <f>(Simulation!$C$20/12*(1+Simulation!$F$19)^INT((B292-1)/12)+F292)*(B292&lt;=Simulation!$F$24*12)</f>
        <v>0</v>
      </c>
      <c r="N292" s="114">
        <f ca="1">SUMIF('Détail fiscalité'!$B$8:$B$37,INT(B292/12),'Détail fiscalité'!$CI$8:$CI$37)/12+SUMIF('Détail fiscalité'!$B$8:$B$37,B292/12,'Détail fiscalité'!$CI$8:$CI$37)-SUMIF('Détail fiscalité'!$B$8:$B$37,B292/12-1,'Détail fiscalité'!$CI$8:$CI$37)</f>
        <v>0</v>
      </c>
      <c r="O292" s="116">
        <f t="shared" ca="1" si="24"/>
        <v>0</v>
      </c>
    </row>
    <row r="293" spans="2:15" x14ac:dyDescent="0.15">
      <c r="B293" s="40">
        <f t="shared" si="23"/>
        <v>286</v>
      </c>
      <c r="C293" s="113">
        <f>IF(B293&lt;=MIN(Simulation!$F$10*12+Simulation!$F$12*OR(Simulation!$F$11="Amortissable différé partiel",Simulation!$F$11="Amortissable différé total"),Simulation!$F$24*12),IF(AND(B293&lt;=Simulation!$F$12,OR(Simulation!$F$11="Amortissable différé partiel",Simulation!$F$11="Amortissable différé total")),C292*(1+(Simulation!$F$11="Amortissable différé total")*Simulation!$F$8/12),C292-D293),0)</f>
        <v>0</v>
      </c>
      <c r="D293" s="114">
        <f>IF(B293&lt;=MIN(Simulation!$F$10*12+Simulation!$F$12*OR(Simulation!$F$11="Amortissable différé partiel",Simulation!$F$11="Amortissable différé total"),Simulation!$F$24*12),G293-E293,0)</f>
        <v>0</v>
      </c>
      <c r="E293" s="114">
        <f>IF(B293&lt;=MIN(Simulation!$F$10*12+Simulation!$F$12*OR(Simulation!$F$11="Amortissable différé partiel",Simulation!$F$11="Amortissable différé total"),Simulation!$F$24*12),IF(AND(B293&lt;=Simulation!$F$12,Simulation!$F$11="Amortissable différé total"),0,C292*Simulation!$F$8/12),0)</f>
        <v>0</v>
      </c>
      <c r="F293" s="114">
        <f>IF(B293&lt;=MIN(Simulation!$F$10*12+Simulation!$F$12*OR(Simulation!$F$11="Amortissable différé partiel",Simulation!$F$11="Amortissable différé total"),Simulation!$F$24*12),Simulation!$E$33*Simulation!$F$9/12,0)</f>
        <v>0</v>
      </c>
      <c r="G293" s="115">
        <f>IF(B293&lt;=MIN(Simulation!$F$10*12+Simulation!$F$12*OR(Simulation!$F$11="Amortissable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partiel",IF(B293&lt;=Simulation!$F$12,Simulation!$E$33*Simulation!$F$8/12,PMT(Simulation!$F$8/12,Simulation!$F$10*12,-Simulation!$E$34)),IF(Simulation!$F$11="Amortissable différé total",IF(B293&lt;=Simulation!$F$12,0,PMT(Simulation!$F$8/12,Simulation!$F$10*12,-Simulation!$E$34)),IF(Simulation!$F$11="In fine",IF(B293=Simulation!$F$10*12,Simulation!$E$34,Simulation!$F$8*Simulation!$E$34/12),0)))),0)</f>
        <v>0</v>
      </c>
      <c r="H293" s="113">
        <f>Simulation!$C$16/12*(1+Simulation!$F$15)^INT((B293-1)/12)*(B293&lt;=Simulation!$F$24*12)</f>
        <v>0</v>
      </c>
      <c r="I293" s="114">
        <f>(Simulation!$F$22-VLOOKUP(Simulation!$C$27,'Comparatif fiscal'!$B$8:$E$17,4,FALSE)-C293)*(B293=Simulation!$F$24*12)</f>
        <v>0</v>
      </c>
      <c r="J293" s="114">
        <f>(Simulation!$C$21+Simulation!$C$22)/12*(1+Simulation!$F$17)^INT((B293-1)/12)*(B293&lt;=Simulation!$F$24*12)</f>
        <v>0</v>
      </c>
      <c r="K293" s="114">
        <f>(H293*Simulation!$C$24+Simulation!$C$23/12*(1+Simulation!$F$15)^INT((B293-1)/12))*(B293&lt;=Simulation!$F$24*12)</f>
        <v>0</v>
      </c>
      <c r="L293" s="114">
        <f>Simulation!$C$19/12*(1+Simulation!$F$18)^INT((B293-1)/12)*(B293&lt;=Simulation!$F$24*12)</f>
        <v>0</v>
      </c>
      <c r="M293" s="114">
        <f>(Simulation!$C$20/12*(1+Simulation!$F$19)^INT((B293-1)/12)+F293)*(B293&lt;=Simulation!$F$24*12)</f>
        <v>0</v>
      </c>
      <c r="N293" s="114">
        <f ca="1">SUMIF('Détail fiscalité'!$B$8:$B$37,INT(B293/12),'Détail fiscalité'!$CI$8:$CI$37)/12+SUMIF('Détail fiscalité'!$B$8:$B$37,B293/12,'Détail fiscalité'!$CI$8:$CI$37)-SUMIF('Détail fiscalité'!$B$8:$B$37,B293/12-1,'Détail fiscalité'!$CI$8:$CI$37)</f>
        <v>0</v>
      </c>
      <c r="O293" s="116">
        <f t="shared" ca="1" si="24"/>
        <v>0</v>
      </c>
    </row>
    <row r="294" spans="2:15" x14ac:dyDescent="0.15">
      <c r="B294" s="40">
        <f t="shared" si="23"/>
        <v>287</v>
      </c>
      <c r="C294" s="113">
        <f>IF(B294&lt;=MIN(Simulation!$F$10*12+Simulation!$F$12*OR(Simulation!$F$11="Amortissable différé partiel",Simulation!$F$11="Amortissable différé total"),Simulation!$F$24*12),IF(AND(B294&lt;=Simulation!$F$12,OR(Simulation!$F$11="Amortissable différé partiel",Simulation!$F$11="Amortissable différé total")),C293*(1+(Simulation!$F$11="Amortissable différé total")*Simulation!$F$8/12),C293-D294),0)</f>
        <v>0</v>
      </c>
      <c r="D294" s="114">
        <f>IF(B294&lt;=MIN(Simulation!$F$10*12+Simulation!$F$12*OR(Simulation!$F$11="Amortissable différé partiel",Simulation!$F$11="Amortissable différé total"),Simulation!$F$24*12),G294-E294,0)</f>
        <v>0</v>
      </c>
      <c r="E294" s="114">
        <f>IF(B294&lt;=MIN(Simulation!$F$10*12+Simulation!$F$12*OR(Simulation!$F$11="Amortissable différé partiel",Simulation!$F$11="Amortissable différé total"),Simulation!$F$24*12),IF(AND(B294&lt;=Simulation!$F$12,Simulation!$F$11="Amortissable différé total"),0,C293*Simulation!$F$8/12),0)</f>
        <v>0</v>
      </c>
      <c r="F294" s="114">
        <f>IF(B294&lt;=MIN(Simulation!$F$10*12+Simulation!$F$12*OR(Simulation!$F$11="Amortissable différé partiel",Simulation!$F$11="Amortissable différé total"),Simulation!$F$24*12),Simulation!$E$33*Simulation!$F$9/12,0)</f>
        <v>0</v>
      </c>
      <c r="G294" s="115">
        <f>IF(B294&lt;=MIN(Simulation!$F$10*12+Simulation!$F$12*OR(Simulation!$F$11="Amortissable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partiel",IF(B294&lt;=Simulation!$F$12,Simulation!$E$33*Simulation!$F$8/12,PMT(Simulation!$F$8/12,Simulation!$F$10*12,-Simulation!$E$34)),IF(Simulation!$F$11="Amortissable différé total",IF(B294&lt;=Simulation!$F$12,0,PMT(Simulation!$F$8/12,Simulation!$F$10*12,-Simulation!$E$34)),IF(Simulation!$F$11="In fine",IF(B294=Simulation!$F$10*12,Simulation!$E$34,Simulation!$F$8*Simulation!$E$34/12),0)))),0)</f>
        <v>0</v>
      </c>
      <c r="H294" s="113">
        <f>Simulation!$C$16/12*(1+Simulation!$F$15)^INT((B294-1)/12)*(B294&lt;=Simulation!$F$24*12)</f>
        <v>0</v>
      </c>
      <c r="I294" s="114">
        <f>(Simulation!$F$22-VLOOKUP(Simulation!$C$27,'Comparatif fiscal'!$B$8:$E$17,4,FALSE)-C294)*(B294=Simulation!$F$24*12)</f>
        <v>0</v>
      </c>
      <c r="J294" s="114">
        <f>(Simulation!$C$21+Simulation!$C$22)/12*(1+Simulation!$F$17)^INT((B294-1)/12)*(B294&lt;=Simulation!$F$24*12)</f>
        <v>0</v>
      </c>
      <c r="K294" s="114">
        <f>(H294*Simulation!$C$24+Simulation!$C$23/12*(1+Simulation!$F$15)^INT((B294-1)/12))*(B294&lt;=Simulation!$F$24*12)</f>
        <v>0</v>
      </c>
      <c r="L294" s="114">
        <f>Simulation!$C$19/12*(1+Simulation!$F$18)^INT((B294-1)/12)*(B294&lt;=Simulation!$F$24*12)</f>
        <v>0</v>
      </c>
      <c r="M294" s="114">
        <f>(Simulation!$C$20/12*(1+Simulation!$F$19)^INT((B294-1)/12)+F294)*(B294&lt;=Simulation!$F$24*12)</f>
        <v>0</v>
      </c>
      <c r="N294" s="114">
        <f ca="1">SUMIF('Détail fiscalité'!$B$8:$B$37,INT(B294/12),'Détail fiscalité'!$CI$8:$CI$37)/12+SUMIF('Détail fiscalité'!$B$8:$B$37,B294/12,'Détail fiscalité'!$CI$8:$CI$37)-SUMIF('Détail fiscalité'!$B$8:$B$37,B294/12-1,'Détail fiscalité'!$CI$8:$CI$37)</f>
        <v>0</v>
      </c>
      <c r="O294" s="116">
        <f t="shared" ca="1" si="24"/>
        <v>0</v>
      </c>
    </row>
    <row r="295" spans="2:15" x14ac:dyDescent="0.15">
      <c r="B295" s="40">
        <f t="shared" si="23"/>
        <v>288</v>
      </c>
      <c r="C295" s="113">
        <f>IF(B295&lt;=MIN(Simulation!$F$10*12+Simulation!$F$12*OR(Simulation!$F$11="Amortissable différé partiel",Simulation!$F$11="Amortissable différé total"),Simulation!$F$24*12),IF(AND(B295&lt;=Simulation!$F$12,OR(Simulation!$F$11="Amortissable différé partiel",Simulation!$F$11="Amortissable différé total")),C294*(1+(Simulation!$F$11="Amortissable différé total")*Simulation!$F$8/12),C294-D295),0)</f>
        <v>0</v>
      </c>
      <c r="D295" s="114">
        <f>IF(B295&lt;=MIN(Simulation!$F$10*12+Simulation!$F$12*OR(Simulation!$F$11="Amortissable différé partiel",Simulation!$F$11="Amortissable différé total"),Simulation!$F$24*12),G295-E295,0)</f>
        <v>0</v>
      </c>
      <c r="E295" s="114">
        <f>IF(B295&lt;=MIN(Simulation!$F$10*12+Simulation!$F$12*OR(Simulation!$F$11="Amortissable différé partiel",Simulation!$F$11="Amortissable différé total"),Simulation!$F$24*12),IF(AND(B295&lt;=Simulation!$F$12,Simulation!$F$11="Amortissable différé total"),0,C294*Simulation!$F$8/12),0)</f>
        <v>0</v>
      </c>
      <c r="F295" s="114">
        <f>IF(B295&lt;=MIN(Simulation!$F$10*12+Simulation!$F$12*OR(Simulation!$F$11="Amortissable différé partiel",Simulation!$F$11="Amortissable différé total"),Simulation!$F$24*12),Simulation!$E$33*Simulation!$F$9/12,0)</f>
        <v>0</v>
      </c>
      <c r="G295" s="115">
        <f>IF(B295&lt;=MIN(Simulation!$F$10*12+Simulation!$F$12*OR(Simulation!$F$11="Amortissable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partiel",IF(B295&lt;=Simulation!$F$12,Simulation!$E$33*Simulation!$F$8/12,PMT(Simulation!$F$8/12,Simulation!$F$10*12,-Simulation!$E$34)),IF(Simulation!$F$11="Amortissable différé total",IF(B295&lt;=Simulation!$F$12,0,PMT(Simulation!$F$8/12,Simulation!$F$10*12,-Simulation!$E$34)),IF(Simulation!$F$11="In fine",IF(B295=Simulation!$F$10*12,Simulation!$E$34,Simulation!$F$8*Simulation!$E$34/12),0)))),0)</f>
        <v>0</v>
      </c>
      <c r="H295" s="113">
        <f>Simulation!$C$16/12*(1+Simulation!$F$15)^INT((B295-1)/12)*(B295&lt;=Simulation!$F$24*12)</f>
        <v>0</v>
      </c>
      <c r="I295" s="114">
        <f>(Simulation!$F$22-VLOOKUP(Simulation!$C$27,'Comparatif fiscal'!$B$8:$E$17,4,FALSE)-C295)*(B295=Simulation!$F$24*12)</f>
        <v>0</v>
      </c>
      <c r="J295" s="114">
        <f>(Simulation!$C$21+Simulation!$C$22)/12*(1+Simulation!$F$17)^INT((B295-1)/12)*(B295&lt;=Simulation!$F$24*12)</f>
        <v>0</v>
      </c>
      <c r="K295" s="114">
        <f>(H295*Simulation!$C$24+Simulation!$C$23/12*(1+Simulation!$F$15)^INT((B295-1)/12))*(B295&lt;=Simulation!$F$24*12)</f>
        <v>0</v>
      </c>
      <c r="L295" s="114">
        <f>Simulation!$C$19/12*(1+Simulation!$F$18)^INT((B295-1)/12)*(B295&lt;=Simulation!$F$24*12)</f>
        <v>0</v>
      </c>
      <c r="M295" s="114">
        <f>(Simulation!$C$20/12*(1+Simulation!$F$19)^INT((B295-1)/12)+F295)*(B295&lt;=Simulation!$F$24*12)</f>
        <v>0</v>
      </c>
      <c r="N295" s="114">
        <f ca="1">SUMIF('Détail fiscalité'!$B$8:$B$37,INT(B295/12),'Détail fiscalité'!$CI$8:$CI$37)/12+SUMIF('Détail fiscalité'!$B$8:$B$37,B295/12,'Détail fiscalité'!$CI$8:$CI$37)-SUMIF('Détail fiscalité'!$B$8:$B$37,B295/12-1,'Détail fiscalité'!$CI$8:$CI$37)</f>
        <v>0</v>
      </c>
      <c r="O295" s="116">
        <f t="shared" ca="1" si="24"/>
        <v>0</v>
      </c>
    </row>
    <row r="296" spans="2:15" x14ac:dyDescent="0.15">
      <c r="B296" s="40">
        <f t="shared" si="23"/>
        <v>289</v>
      </c>
      <c r="C296" s="113">
        <f>IF(B296&lt;=MIN(Simulation!$F$10*12+Simulation!$F$12*OR(Simulation!$F$11="Amortissable différé partiel",Simulation!$F$11="Amortissable différé total"),Simulation!$F$24*12),IF(AND(B296&lt;=Simulation!$F$12,OR(Simulation!$F$11="Amortissable différé partiel",Simulation!$F$11="Amortissable différé total")),C295*(1+(Simulation!$F$11="Amortissable différé total")*Simulation!$F$8/12),C295-D296),0)</f>
        <v>0</v>
      </c>
      <c r="D296" s="114">
        <f>IF(B296&lt;=MIN(Simulation!$F$10*12+Simulation!$F$12*OR(Simulation!$F$11="Amortissable différé partiel",Simulation!$F$11="Amortissable différé total"),Simulation!$F$24*12),G296-E296,0)</f>
        <v>0</v>
      </c>
      <c r="E296" s="114">
        <f>IF(B296&lt;=MIN(Simulation!$F$10*12+Simulation!$F$12*OR(Simulation!$F$11="Amortissable différé partiel",Simulation!$F$11="Amortissable différé total"),Simulation!$F$24*12),IF(AND(B296&lt;=Simulation!$F$12,Simulation!$F$11="Amortissable différé total"),0,C295*Simulation!$F$8/12),0)</f>
        <v>0</v>
      </c>
      <c r="F296" s="114">
        <f>IF(B296&lt;=MIN(Simulation!$F$10*12+Simulation!$F$12*OR(Simulation!$F$11="Amortissable différé partiel",Simulation!$F$11="Amortissable différé total"),Simulation!$F$24*12),Simulation!$E$33*Simulation!$F$9/12,0)</f>
        <v>0</v>
      </c>
      <c r="G296" s="115">
        <f>IF(B296&lt;=MIN(Simulation!$F$10*12+Simulation!$F$12*OR(Simulation!$F$11="Amortissable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partiel",IF(B296&lt;=Simulation!$F$12,Simulation!$E$33*Simulation!$F$8/12,PMT(Simulation!$F$8/12,Simulation!$F$10*12,-Simulation!$E$34)),IF(Simulation!$F$11="Amortissable différé total",IF(B296&lt;=Simulation!$F$12,0,PMT(Simulation!$F$8/12,Simulation!$F$10*12,-Simulation!$E$34)),IF(Simulation!$F$11="In fine",IF(B296=Simulation!$F$10*12,Simulation!$E$34,Simulation!$F$8*Simulation!$E$34/12),0)))),0)</f>
        <v>0</v>
      </c>
      <c r="H296" s="113">
        <f>Simulation!$C$16/12*(1+Simulation!$F$15)^INT((B296-1)/12)*(B296&lt;=Simulation!$F$24*12)</f>
        <v>0</v>
      </c>
      <c r="I296" s="114">
        <f>(Simulation!$F$22-VLOOKUP(Simulation!$C$27,'Comparatif fiscal'!$B$8:$E$17,4,FALSE)-C296)*(B296=Simulation!$F$24*12)</f>
        <v>0</v>
      </c>
      <c r="J296" s="114">
        <f>(Simulation!$C$21+Simulation!$C$22)/12*(1+Simulation!$F$17)^INT((B296-1)/12)*(B296&lt;=Simulation!$F$24*12)</f>
        <v>0</v>
      </c>
      <c r="K296" s="114">
        <f>(H296*Simulation!$C$24+Simulation!$C$23/12*(1+Simulation!$F$15)^INT((B296-1)/12))*(B296&lt;=Simulation!$F$24*12)</f>
        <v>0</v>
      </c>
      <c r="L296" s="114">
        <f>Simulation!$C$19/12*(1+Simulation!$F$18)^INT((B296-1)/12)*(B296&lt;=Simulation!$F$24*12)</f>
        <v>0</v>
      </c>
      <c r="M296" s="114">
        <f>(Simulation!$C$20/12*(1+Simulation!$F$19)^INT((B296-1)/12)+F296)*(B296&lt;=Simulation!$F$24*12)</f>
        <v>0</v>
      </c>
      <c r="N296" s="114">
        <f ca="1">SUMIF('Détail fiscalité'!$B$8:$B$37,INT(B296/12),'Détail fiscalité'!$CI$8:$CI$37)/12+SUMIF('Détail fiscalité'!$B$8:$B$37,B296/12,'Détail fiscalité'!$CI$8:$CI$37)-SUMIF('Détail fiscalité'!$B$8:$B$37,B296/12-1,'Détail fiscalité'!$CI$8:$CI$37)</f>
        <v>0</v>
      </c>
      <c r="O296" s="116">
        <f t="shared" ca="1" si="24"/>
        <v>0</v>
      </c>
    </row>
    <row r="297" spans="2:15" x14ac:dyDescent="0.15">
      <c r="B297" s="40">
        <f t="shared" si="23"/>
        <v>290</v>
      </c>
      <c r="C297" s="113">
        <f>IF(B297&lt;=MIN(Simulation!$F$10*12+Simulation!$F$12*OR(Simulation!$F$11="Amortissable différé partiel",Simulation!$F$11="Amortissable différé total"),Simulation!$F$24*12),IF(AND(B297&lt;=Simulation!$F$12,OR(Simulation!$F$11="Amortissable différé partiel",Simulation!$F$11="Amortissable différé total")),C296*(1+(Simulation!$F$11="Amortissable différé total")*Simulation!$F$8/12),C296-D297),0)</f>
        <v>0</v>
      </c>
      <c r="D297" s="114">
        <f>IF(B297&lt;=MIN(Simulation!$F$10*12+Simulation!$F$12*OR(Simulation!$F$11="Amortissable différé partiel",Simulation!$F$11="Amortissable différé total"),Simulation!$F$24*12),G297-E297,0)</f>
        <v>0</v>
      </c>
      <c r="E297" s="114">
        <f>IF(B297&lt;=MIN(Simulation!$F$10*12+Simulation!$F$12*OR(Simulation!$F$11="Amortissable différé partiel",Simulation!$F$11="Amortissable différé total"),Simulation!$F$24*12),IF(AND(B297&lt;=Simulation!$F$12,Simulation!$F$11="Amortissable différé total"),0,C296*Simulation!$F$8/12),0)</f>
        <v>0</v>
      </c>
      <c r="F297" s="114">
        <f>IF(B297&lt;=MIN(Simulation!$F$10*12+Simulation!$F$12*OR(Simulation!$F$11="Amortissable différé partiel",Simulation!$F$11="Amortissable différé total"),Simulation!$F$24*12),Simulation!$E$33*Simulation!$F$9/12,0)</f>
        <v>0</v>
      </c>
      <c r="G297" s="115">
        <f>IF(B297&lt;=MIN(Simulation!$F$10*12+Simulation!$F$12*OR(Simulation!$F$11="Amortissable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partiel",IF(B297&lt;=Simulation!$F$12,Simulation!$E$33*Simulation!$F$8/12,PMT(Simulation!$F$8/12,Simulation!$F$10*12,-Simulation!$E$34)),IF(Simulation!$F$11="Amortissable différé total",IF(B297&lt;=Simulation!$F$12,0,PMT(Simulation!$F$8/12,Simulation!$F$10*12,-Simulation!$E$34)),IF(Simulation!$F$11="In fine",IF(B297=Simulation!$F$10*12,Simulation!$E$34,Simulation!$F$8*Simulation!$E$34/12),0)))),0)</f>
        <v>0</v>
      </c>
      <c r="H297" s="113">
        <f>Simulation!$C$16/12*(1+Simulation!$F$15)^INT((B297-1)/12)*(B297&lt;=Simulation!$F$24*12)</f>
        <v>0</v>
      </c>
      <c r="I297" s="114">
        <f>(Simulation!$F$22-VLOOKUP(Simulation!$C$27,'Comparatif fiscal'!$B$8:$E$17,4,FALSE)-C297)*(B297=Simulation!$F$24*12)</f>
        <v>0</v>
      </c>
      <c r="J297" s="114">
        <f>(Simulation!$C$21+Simulation!$C$22)/12*(1+Simulation!$F$17)^INT((B297-1)/12)*(B297&lt;=Simulation!$F$24*12)</f>
        <v>0</v>
      </c>
      <c r="K297" s="114">
        <f>(H297*Simulation!$C$24+Simulation!$C$23/12*(1+Simulation!$F$15)^INT((B297-1)/12))*(B297&lt;=Simulation!$F$24*12)</f>
        <v>0</v>
      </c>
      <c r="L297" s="114">
        <f>Simulation!$C$19/12*(1+Simulation!$F$18)^INT((B297-1)/12)*(B297&lt;=Simulation!$F$24*12)</f>
        <v>0</v>
      </c>
      <c r="M297" s="114">
        <f>(Simulation!$C$20/12*(1+Simulation!$F$19)^INT((B297-1)/12)+F297)*(B297&lt;=Simulation!$F$24*12)</f>
        <v>0</v>
      </c>
      <c r="N297" s="114">
        <f ca="1">SUMIF('Détail fiscalité'!$B$8:$B$37,INT(B297/12),'Détail fiscalité'!$CI$8:$CI$37)/12+SUMIF('Détail fiscalité'!$B$8:$B$37,B297/12,'Détail fiscalité'!$CI$8:$CI$37)-SUMIF('Détail fiscalité'!$B$8:$B$37,B297/12-1,'Détail fiscalité'!$CI$8:$CI$37)</f>
        <v>0</v>
      </c>
      <c r="O297" s="116">
        <f t="shared" ca="1" si="24"/>
        <v>0</v>
      </c>
    </row>
    <row r="298" spans="2:15" x14ac:dyDescent="0.15">
      <c r="B298" s="40">
        <f t="shared" si="23"/>
        <v>291</v>
      </c>
      <c r="C298" s="113">
        <f>IF(B298&lt;=MIN(Simulation!$F$10*12+Simulation!$F$12*OR(Simulation!$F$11="Amortissable différé partiel",Simulation!$F$11="Amortissable différé total"),Simulation!$F$24*12),IF(AND(B298&lt;=Simulation!$F$12,OR(Simulation!$F$11="Amortissable différé partiel",Simulation!$F$11="Amortissable différé total")),C297*(1+(Simulation!$F$11="Amortissable différé total")*Simulation!$F$8/12),C297-D298),0)</f>
        <v>0</v>
      </c>
      <c r="D298" s="114">
        <f>IF(B298&lt;=MIN(Simulation!$F$10*12+Simulation!$F$12*OR(Simulation!$F$11="Amortissable différé partiel",Simulation!$F$11="Amortissable différé total"),Simulation!$F$24*12),G298-E298,0)</f>
        <v>0</v>
      </c>
      <c r="E298" s="114">
        <f>IF(B298&lt;=MIN(Simulation!$F$10*12+Simulation!$F$12*OR(Simulation!$F$11="Amortissable différé partiel",Simulation!$F$11="Amortissable différé total"),Simulation!$F$24*12),IF(AND(B298&lt;=Simulation!$F$12,Simulation!$F$11="Amortissable différé total"),0,C297*Simulation!$F$8/12),0)</f>
        <v>0</v>
      </c>
      <c r="F298" s="114">
        <f>IF(B298&lt;=MIN(Simulation!$F$10*12+Simulation!$F$12*OR(Simulation!$F$11="Amortissable différé partiel",Simulation!$F$11="Amortissable différé total"),Simulation!$F$24*12),Simulation!$E$33*Simulation!$F$9/12,0)</f>
        <v>0</v>
      </c>
      <c r="G298" s="115">
        <f>IF(B298&lt;=MIN(Simulation!$F$10*12+Simulation!$F$12*OR(Simulation!$F$11="Amortissable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partiel",IF(B298&lt;=Simulation!$F$12,Simulation!$E$33*Simulation!$F$8/12,PMT(Simulation!$F$8/12,Simulation!$F$10*12,-Simulation!$E$34)),IF(Simulation!$F$11="Amortissable différé total",IF(B298&lt;=Simulation!$F$12,0,PMT(Simulation!$F$8/12,Simulation!$F$10*12,-Simulation!$E$34)),IF(Simulation!$F$11="In fine",IF(B298=Simulation!$F$10*12,Simulation!$E$34,Simulation!$F$8*Simulation!$E$34/12),0)))),0)</f>
        <v>0</v>
      </c>
      <c r="H298" s="113">
        <f>Simulation!$C$16/12*(1+Simulation!$F$15)^INT((B298-1)/12)*(B298&lt;=Simulation!$F$24*12)</f>
        <v>0</v>
      </c>
      <c r="I298" s="114">
        <f>(Simulation!$F$22-VLOOKUP(Simulation!$C$27,'Comparatif fiscal'!$B$8:$E$17,4,FALSE)-C298)*(B298=Simulation!$F$24*12)</f>
        <v>0</v>
      </c>
      <c r="J298" s="114">
        <f>(Simulation!$C$21+Simulation!$C$22)/12*(1+Simulation!$F$17)^INT((B298-1)/12)*(B298&lt;=Simulation!$F$24*12)</f>
        <v>0</v>
      </c>
      <c r="K298" s="114">
        <f>(H298*Simulation!$C$24+Simulation!$C$23/12*(1+Simulation!$F$15)^INT((B298-1)/12))*(B298&lt;=Simulation!$F$24*12)</f>
        <v>0</v>
      </c>
      <c r="L298" s="114">
        <f>Simulation!$C$19/12*(1+Simulation!$F$18)^INT((B298-1)/12)*(B298&lt;=Simulation!$F$24*12)</f>
        <v>0</v>
      </c>
      <c r="M298" s="114">
        <f>(Simulation!$C$20/12*(1+Simulation!$F$19)^INT((B298-1)/12)+F298)*(B298&lt;=Simulation!$F$24*12)</f>
        <v>0</v>
      </c>
      <c r="N298" s="114">
        <f ca="1">SUMIF('Détail fiscalité'!$B$8:$B$37,INT(B298/12),'Détail fiscalité'!$CI$8:$CI$37)/12+SUMIF('Détail fiscalité'!$B$8:$B$37,B298/12,'Détail fiscalité'!$CI$8:$CI$37)-SUMIF('Détail fiscalité'!$B$8:$B$37,B298/12-1,'Détail fiscalité'!$CI$8:$CI$37)</f>
        <v>0</v>
      </c>
      <c r="O298" s="116">
        <f t="shared" ca="1" si="24"/>
        <v>0</v>
      </c>
    </row>
    <row r="299" spans="2:15" x14ac:dyDescent="0.15">
      <c r="B299" s="40">
        <f t="shared" si="23"/>
        <v>292</v>
      </c>
      <c r="C299" s="113">
        <f>IF(B299&lt;=MIN(Simulation!$F$10*12+Simulation!$F$12*OR(Simulation!$F$11="Amortissable différé partiel",Simulation!$F$11="Amortissable différé total"),Simulation!$F$24*12),IF(AND(B299&lt;=Simulation!$F$12,OR(Simulation!$F$11="Amortissable différé partiel",Simulation!$F$11="Amortissable différé total")),C298*(1+(Simulation!$F$11="Amortissable différé total")*Simulation!$F$8/12),C298-D299),0)</f>
        <v>0</v>
      </c>
      <c r="D299" s="114">
        <f>IF(B299&lt;=MIN(Simulation!$F$10*12+Simulation!$F$12*OR(Simulation!$F$11="Amortissable différé partiel",Simulation!$F$11="Amortissable différé total"),Simulation!$F$24*12),G299-E299,0)</f>
        <v>0</v>
      </c>
      <c r="E299" s="114">
        <f>IF(B299&lt;=MIN(Simulation!$F$10*12+Simulation!$F$12*OR(Simulation!$F$11="Amortissable différé partiel",Simulation!$F$11="Amortissable différé total"),Simulation!$F$24*12),IF(AND(B299&lt;=Simulation!$F$12,Simulation!$F$11="Amortissable différé total"),0,C298*Simulation!$F$8/12),0)</f>
        <v>0</v>
      </c>
      <c r="F299" s="114">
        <f>IF(B299&lt;=MIN(Simulation!$F$10*12+Simulation!$F$12*OR(Simulation!$F$11="Amortissable différé partiel",Simulation!$F$11="Amortissable différé total"),Simulation!$F$24*12),Simulation!$E$33*Simulation!$F$9/12,0)</f>
        <v>0</v>
      </c>
      <c r="G299" s="115">
        <f>IF(B299&lt;=MIN(Simulation!$F$10*12+Simulation!$F$12*OR(Simulation!$F$11="Amortissable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partiel",IF(B299&lt;=Simulation!$F$12,Simulation!$E$33*Simulation!$F$8/12,PMT(Simulation!$F$8/12,Simulation!$F$10*12,-Simulation!$E$34)),IF(Simulation!$F$11="Amortissable différé total",IF(B299&lt;=Simulation!$F$12,0,PMT(Simulation!$F$8/12,Simulation!$F$10*12,-Simulation!$E$34)),IF(Simulation!$F$11="In fine",IF(B299=Simulation!$F$10*12,Simulation!$E$34,Simulation!$F$8*Simulation!$E$34/12),0)))),0)</f>
        <v>0</v>
      </c>
      <c r="H299" s="113">
        <f>Simulation!$C$16/12*(1+Simulation!$F$15)^INT((B299-1)/12)*(B299&lt;=Simulation!$F$24*12)</f>
        <v>0</v>
      </c>
      <c r="I299" s="114">
        <f>(Simulation!$F$22-VLOOKUP(Simulation!$C$27,'Comparatif fiscal'!$B$8:$E$17,4,FALSE)-C299)*(B299=Simulation!$F$24*12)</f>
        <v>0</v>
      </c>
      <c r="J299" s="114">
        <f>(Simulation!$C$21+Simulation!$C$22)/12*(1+Simulation!$F$17)^INT((B299-1)/12)*(B299&lt;=Simulation!$F$24*12)</f>
        <v>0</v>
      </c>
      <c r="K299" s="114">
        <f>(H299*Simulation!$C$24+Simulation!$C$23/12*(1+Simulation!$F$15)^INT((B299-1)/12))*(B299&lt;=Simulation!$F$24*12)</f>
        <v>0</v>
      </c>
      <c r="L299" s="114">
        <f>Simulation!$C$19/12*(1+Simulation!$F$18)^INT((B299-1)/12)*(B299&lt;=Simulation!$F$24*12)</f>
        <v>0</v>
      </c>
      <c r="M299" s="114">
        <f>(Simulation!$C$20/12*(1+Simulation!$F$19)^INT((B299-1)/12)+F299)*(B299&lt;=Simulation!$F$24*12)</f>
        <v>0</v>
      </c>
      <c r="N299" s="114">
        <f ca="1">SUMIF('Détail fiscalité'!$B$8:$B$37,INT(B299/12),'Détail fiscalité'!$CI$8:$CI$37)/12+SUMIF('Détail fiscalité'!$B$8:$B$37,B299/12,'Détail fiscalité'!$CI$8:$CI$37)-SUMIF('Détail fiscalité'!$B$8:$B$37,B299/12-1,'Détail fiscalité'!$CI$8:$CI$37)</f>
        <v>0</v>
      </c>
      <c r="O299" s="116">
        <f t="shared" ca="1" si="24"/>
        <v>0</v>
      </c>
    </row>
    <row r="300" spans="2:15" x14ac:dyDescent="0.15">
      <c r="B300" s="40">
        <f t="shared" si="23"/>
        <v>293</v>
      </c>
      <c r="C300" s="113">
        <f>IF(B300&lt;=MIN(Simulation!$F$10*12+Simulation!$F$12*OR(Simulation!$F$11="Amortissable différé partiel",Simulation!$F$11="Amortissable différé total"),Simulation!$F$24*12),IF(AND(B300&lt;=Simulation!$F$12,OR(Simulation!$F$11="Amortissable différé partiel",Simulation!$F$11="Amortissable différé total")),C299*(1+(Simulation!$F$11="Amortissable différé total")*Simulation!$F$8/12),C299-D300),0)</f>
        <v>0</v>
      </c>
      <c r="D300" s="114">
        <f>IF(B300&lt;=MIN(Simulation!$F$10*12+Simulation!$F$12*OR(Simulation!$F$11="Amortissable différé partiel",Simulation!$F$11="Amortissable différé total"),Simulation!$F$24*12),G300-E300,0)</f>
        <v>0</v>
      </c>
      <c r="E300" s="114">
        <f>IF(B300&lt;=MIN(Simulation!$F$10*12+Simulation!$F$12*OR(Simulation!$F$11="Amortissable différé partiel",Simulation!$F$11="Amortissable différé total"),Simulation!$F$24*12),IF(AND(B300&lt;=Simulation!$F$12,Simulation!$F$11="Amortissable différé total"),0,C299*Simulation!$F$8/12),0)</f>
        <v>0</v>
      </c>
      <c r="F300" s="114">
        <f>IF(B300&lt;=MIN(Simulation!$F$10*12+Simulation!$F$12*OR(Simulation!$F$11="Amortissable différé partiel",Simulation!$F$11="Amortissable différé total"),Simulation!$F$24*12),Simulation!$E$33*Simulation!$F$9/12,0)</f>
        <v>0</v>
      </c>
      <c r="G300" s="115">
        <f>IF(B300&lt;=MIN(Simulation!$F$10*12+Simulation!$F$12*OR(Simulation!$F$11="Amortissable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partiel",IF(B300&lt;=Simulation!$F$12,Simulation!$E$33*Simulation!$F$8/12,PMT(Simulation!$F$8/12,Simulation!$F$10*12,-Simulation!$E$34)),IF(Simulation!$F$11="Amortissable différé total",IF(B300&lt;=Simulation!$F$12,0,PMT(Simulation!$F$8/12,Simulation!$F$10*12,-Simulation!$E$34)),IF(Simulation!$F$11="In fine",IF(B300=Simulation!$F$10*12,Simulation!$E$34,Simulation!$F$8*Simulation!$E$34/12),0)))),0)</f>
        <v>0</v>
      </c>
      <c r="H300" s="113">
        <f>Simulation!$C$16/12*(1+Simulation!$F$15)^INT((B300-1)/12)*(B300&lt;=Simulation!$F$24*12)</f>
        <v>0</v>
      </c>
      <c r="I300" s="114">
        <f>(Simulation!$F$22-VLOOKUP(Simulation!$C$27,'Comparatif fiscal'!$B$8:$E$17,4,FALSE)-C300)*(B300=Simulation!$F$24*12)</f>
        <v>0</v>
      </c>
      <c r="J300" s="114">
        <f>(Simulation!$C$21+Simulation!$C$22)/12*(1+Simulation!$F$17)^INT((B300-1)/12)*(B300&lt;=Simulation!$F$24*12)</f>
        <v>0</v>
      </c>
      <c r="K300" s="114">
        <f>(H300*Simulation!$C$24+Simulation!$C$23/12*(1+Simulation!$F$15)^INT((B300-1)/12))*(B300&lt;=Simulation!$F$24*12)</f>
        <v>0</v>
      </c>
      <c r="L300" s="114">
        <f>Simulation!$C$19/12*(1+Simulation!$F$18)^INT((B300-1)/12)*(B300&lt;=Simulation!$F$24*12)</f>
        <v>0</v>
      </c>
      <c r="M300" s="114">
        <f>(Simulation!$C$20/12*(1+Simulation!$F$19)^INT((B300-1)/12)+F300)*(B300&lt;=Simulation!$F$24*12)</f>
        <v>0</v>
      </c>
      <c r="N300" s="114">
        <f ca="1">SUMIF('Détail fiscalité'!$B$8:$B$37,INT(B300/12),'Détail fiscalité'!$CI$8:$CI$37)/12+SUMIF('Détail fiscalité'!$B$8:$B$37,B300/12,'Détail fiscalité'!$CI$8:$CI$37)-SUMIF('Détail fiscalité'!$B$8:$B$37,B300/12-1,'Détail fiscalité'!$CI$8:$CI$37)</f>
        <v>0</v>
      </c>
      <c r="O300" s="116">
        <f t="shared" ca="1" si="24"/>
        <v>0</v>
      </c>
    </row>
    <row r="301" spans="2:15" x14ac:dyDescent="0.15">
      <c r="B301" s="40">
        <f t="shared" si="23"/>
        <v>294</v>
      </c>
      <c r="C301" s="113">
        <f>IF(B301&lt;=MIN(Simulation!$F$10*12+Simulation!$F$12*OR(Simulation!$F$11="Amortissable différé partiel",Simulation!$F$11="Amortissable différé total"),Simulation!$F$24*12),IF(AND(B301&lt;=Simulation!$F$12,OR(Simulation!$F$11="Amortissable différé partiel",Simulation!$F$11="Amortissable différé total")),C300*(1+(Simulation!$F$11="Amortissable différé total")*Simulation!$F$8/12),C300-D301),0)</f>
        <v>0</v>
      </c>
      <c r="D301" s="114">
        <f>IF(B301&lt;=MIN(Simulation!$F$10*12+Simulation!$F$12*OR(Simulation!$F$11="Amortissable différé partiel",Simulation!$F$11="Amortissable différé total"),Simulation!$F$24*12),G301-E301,0)</f>
        <v>0</v>
      </c>
      <c r="E301" s="114">
        <f>IF(B301&lt;=MIN(Simulation!$F$10*12+Simulation!$F$12*OR(Simulation!$F$11="Amortissable différé partiel",Simulation!$F$11="Amortissable différé total"),Simulation!$F$24*12),IF(AND(B301&lt;=Simulation!$F$12,Simulation!$F$11="Amortissable différé total"),0,C300*Simulation!$F$8/12),0)</f>
        <v>0</v>
      </c>
      <c r="F301" s="114">
        <f>IF(B301&lt;=MIN(Simulation!$F$10*12+Simulation!$F$12*OR(Simulation!$F$11="Amortissable différé partiel",Simulation!$F$11="Amortissable différé total"),Simulation!$F$24*12),Simulation!$E$33*Simulation!$F$9/12,0)</f>
        <v>0</v>
      </c>
      <c r="G301" s="115">
        <f>IF(B301&lt;=MIN(Simulation!$F$10*12+Simulation!$F$12*OR(Simulation!$F$11="Amortissable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partiel",IF(B301&lt;=Simulation!$F$12,Simulation!$E$33*Simulation!$F$8/12,PMT(Simulation!$F$8/12,Simulation!$F$10*12,-Simulation!$E$34)),IF(Simulation!$F$11="Amortissable différé total",IF(B301&lt;=Simulation!$F$12,0,PMT(Simulation!$F$8/12,Simulation!$F$10*12,-Simulation!$E$34)),IF(Simulation!$F$11="In fine",IF(B301=Simulation!$F$10*12,Simulation!$E$34,Simulation!$F$8*Simulation!$E$34/12),0)))),0)</f>
        <v>0</v>
      </c>
      <c r="H301" s="113">
        <f>Simulation!$C$16/12*(1+Simulation!$F$15)^INT((B301-1)/12)*(B301&lt;=Simulation!$F$24*12)</f>
        <v>0</v>
      </c>
      <c r="I301" s="114">
        <f>(Simulation!$F$22-VLOOKUP(Simulation!$C$27,'Comparatif fiscal'!$B$8:$E$17,4,FALSE)-C301)*(B301=Simulation!$F$24*12)</f>
        <v>0</v>
      </c>
      <c r="J301" s="114">
        <f>(Simulation!$C$21+Simulation!$C$22)/12*(1+Simulation!$F$17)^INT((B301-1)/12)*(B301&lt;=Simulation!$F$24*12)</f>
        <v>0</v>
      </c>
      <c r="K301" s="114">
        <f>(H301*Simulation!$C$24+Simulation!$C$23/12*(1+Simulation!$F$15)^INT((B301-1)/12))*(B301&lt;=Simulation!$F$24*12)</f>
        <v>0</v>
      </c>
      <c r="L301" s="114">
        <f>Simulation!$C$19/12*(1+Simulation!$F$18)^INT((B301-1)/12)*(B301&lt;=Simulation!$F$24*12)</f>
        <v>0</v>
      </c>
      <c r="M301" s="114">
        <f>(Simulation!$C$20/12*(1+Simulation!$F$19)^INT((B301-1)/12)+F301)*(B301&lt;=Simulation!$F$24*12)</f>
        <v>0</v>
      </c>
      <c r="N301" s="114">
        <f ca="1">SUMIF('Détail fiscalité'!$B$8:$B$37,INT(B301/12),'Détail fiscalité'!$CI$8:$CI$37)/12+SUMIF('Détail fiscalité'!$B$8:$B$37,B301/12,'Détail fiscalité'!$CI$8:$CI$37)-SUMIF('Détail fiscalité'!$B$8:$B$37,B301/12-1,'Détail fiscalité'!$CI$8:$CI$37)</f>
        <v>0</v>
      </c>
      <c r="O301" s="116">
        <f t="shared" ca="1" si="24"/>
        <v>0</v>
      </c>
    </row>
    <row r="302" spans="2:15" x14ac:dyDescent="0.15">
      <c r="B302" s="40">
        <f t="shared" si="23"/>
        <v>295</v>
      </c>
      <c r="C302" s="113">
        <f>IF(B302&lt;=MIN(Simulation!$F$10*12+Simulation!$F$12*OR(Simulation!$F$11="Amortissable différé partiel",Simulation!$F$11="Amortissable différé total"),Simulation!$F$24*12),IF(AND(B302&lt;=Simulation!$F$12,OR(Simulation!$F$11="Amortissable différé partiel",Simulation!$F$11="Amortissable différé total")),C301*(1+(Simulation!$F$11="Amortissable différé total")*Simulation!$F$8/12),C301-D302),0)</f>
        <v>0</v>
      </c>
      <c r="D302" s="114">
        <f>IF(B302&lt;=MIN(Simulation!$F$10*12+Simulation!$F$12*OR(Simulation!$F$11="Amortissable différé partiel",Simulation!$F$11="Amortissable différé total"),Simulation!$F$24*12),G302-E302,0)</f>
        <v>0</v>
      </c>
      <c r="E302" s="114">
        <f>IF(B302&lt;=MIN(Simulation!$F$10*12+Simulation!$F$12*OR(Simulation!$F$11="Amortissable différé partiel",Simulation!$F$11="Amortissable différé total"),Simulation!$F$24*12),IF(AND(B302&lt;=Simulation!$F$12,Simulation!$F$11="Amortissable différé total"),0,C301*Simulation!$F$8/12),0)</f>
        <v>0</v>
      </c>
      <c r="F302" s="114">
        <f>IF(B302&lt;=MIN(Simulation!$F$10*12+Simulation!$F$12*OR(Simulation!$F$11="Amortissable différé partiel",Simulation!$F$11="Amortissable différé total"),Simulation!$F$24*12),Simulation!$E$33*Simulation!$F$9/12,0)</f>
        <v>0</v>
      </c>
      <c r="G302" s="115">
        <f>IF(B302&lt;=MIN(Simulation!$F$10*12+Simulation!$F$12*OR(Simulation!$F$11="Amortissable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partiel",IF(B302&lt;=Simulation!$F$12,Simulation!$E$33*Simulation!$F$8/12,PMT(Simulation!$F$8/12,Simulation!$F$10*12,-Simulation!$E$34)),IF(Simulation!$F$11="Amortissable différé total",IF(B302&lt;=Simulation!$F$12,0,PMT(Simulation!$F$8/12,Simulation!$F$10*12,-Simulation!$E$34)),IF(Simulation!$F$11="In fine",IF(B302=Simulation!$F$10*12,Simulation!$E$34,Simulation!$F$8*Simulation!$E$34/12),0)))),0)</f>
        <v>0</v>
      </c>
      <c r="H302" s="113">
        <f>Simulation!$C$16/12*(1+Simulation!$F$15)^INT((B302-1)/12)*(B302&lt;=Simulation!$F$24*12)</f>
        <v>0</v>
      </c>
      <c r="I302" s="114">
        <f>(Simulation!$F$22-VLOOKUP(Simulation!$C$27,'Comparatif fiscal'!$B$8:$E$17,4,FALSE)-C302)*(B302=Simulation!$F$24*12)</f>
        <v>0</v>
      </c>
      <c r="J302" s="114">
        <f>(Simulation!$C$21+Simulation!$C$22)/12*(1+Simulation!$F$17)^INT((B302-1)/12)*(B302&lt;=Simulation!$F$24*12)</f>
        <v>0</v>
      </c>
      <c r="K302" s="114">
        <f>(H302*Simulation!$C$24+Simulation!$C$23/12*(1+Simulation!$F$15)^INT((B302-1)/12))*(B302&lt;=Simulation!$F$24*12)</f>
        <v>0</v>
      </c>
      <c r="L302" s="114">
        <f>Simulation!$C$19/12*(1+Simulation!$F$18)^INT((B302-1)/12)*(B302&lt;=Simulation!$F$24*12)</f>
        <v>0</v>
      </c>
      <c r="M302" s="114">
        <f>(Simulation!$C$20/12*(1+Simulation!$F$19)^INT((B302-1)/12)+F302)*(B302&lt;=Simulation!$F$24*12)</f>
        <v>0</v>
      </c>
      <c r="N302" s="114">
        <f ca="1">SUMIF('Détail fiscalité'!$B$8:$B$37,INT(B302/12),'Détail fiscalité'!$CI$8:$CI$37)/12+SUMIF('Détail fiscalité'!$B$8:$B$37,B302/12,'Détail fiscalité'!$CI$8:$CI$37)-SUMIF('Détail fiscalité'!$B$8:$B$37,B302/12-1,'Détail fiscalité'!$CI$8:$CI$37)</f>
        <v>0</v>
      </c>
      <c r="O302" s="116">
        <f t="shared" ca="1" si="24"/>
        <v>0</v>
      </c>
    </row>
    <row r="303" spans="2:15" x14ac:dyDescent="0.15">
      <c r="B303" s="40">
        <f t="shared" si="23"/>
        <v>296</v>
      </c>
      <c r="C303" s="113">
        <f>IF(B303&lt;=MIN(Simulation!$F$10*12+Simulation!$F$12*OR(Simulation!$F$11="Amortissable différé partiel",Simulation!$F$11="Amortissable différé total"),Simulation!$F$24*12),IF(AND(B303&lt;=Simulation!$F$12,OR(Simulation!$F$11="Amortissable différé partiel",Simulation!$F$11="Amortissable différé total")),C302*(1+(Simulation!$F$11="Amortissable différé total")*Simulation!$F$8/12),C302-D303),0)</f>
        <v>0</v>
      </c>
      <c r="D303" s="114">
        <f>IF(B303&lt;=MIN(Simulation!$F$10*12+Simulation!$F$12*OR(Simulation!$F$11="Amortissable différé partiel",Simulation!$F$11="Amortissable différé total"),Simulation!$F$24*12),G303-E303,0)</f>
        <v>0</v>
      </c>
      <c r="E303" s="114">
        <f>IF(B303&lt;=MIN(Simulation!$F$10*12+Simulation!$F$12*OR(Simulation!$F$11="Amortissable différé partiel",Simulation!$F$11="Amortissable différé total"),Simulation!$F$24*12),IF(AND(B303&lt;=Simulation!$F$12,Simulation!$F$11="Amortissable différé total"),0,C302*Simulation!$F$8/12),0)</f>
        <v>0</v>
      </c>
      <c r="F303" s="114">
        <f>IF(B303&lt;=MIN(Simulation!$F$10*12+Simulation!$F$12*OR(Simulation!$F$11="Amortissable différé partiel",Simulation!$F$11="Amortissable différé total"),Simulation!$F$24*12),Simulation!$E$33*Simulation!$F$9/12,0)</f>
        <v>0</v>
      </c>
      <c r="G303" s="115">
        <f>IF(B303&lt;=MIN(Simulation!$F$10*12+Simulation!$F$12*OR(Simulation!$F$11="Amortissable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partiel",IF(B303&lt;=Simulation!$F$12,Simulation!$E$33*Simulation!$F$8/12,PMT(Simulation!$F$8/12,Simulation!$F$10*12,-Simulation!$E$34)),IF(Simulation!$F$11="Amortissable différé total",IF(B303&lt;=Simulation!$F$12,0,PMT(Simulation!$F$8/12,Simulation!$F$10*12,-Simulation!$E$34)),IF(Simulation!$F$11="In fine",IF(B303=Simulation!$F$10*12,Simulation!$E$34,Simulation!$F$8*Simulation!$E$34/12),0)))),0)</f>
        <v>0</v>
      </c>
      <c r="H303" s="113">
        <f>Simulation!$C$16/12*(1+Simulation!$F$15)^INT((B303-1)/12)*(B303&lt;=Simulation!$F$24*12)</f>
        <v>0</v>
      </c>
      <c r="I303" s="114">
        <f>(Simulation!$F$22-VLOOKUP(Simulation!$C$27,'Comparatif fiscal'!$B$8:$E$17,4,FALSE)-C303)*(B303=Simulation!$F$24*12)</f>
        <v>0</v>
      </c>
      <c r="J303" s="114">
        <f>(Simulation!$C$21+Simulation!$C$22)/12*(1+Simulation!$F$17)^INT((B303-1)/12)*(B303&lt;=Simulation!$F$24*12)</f>
        <v>0</v>
      </c>
      <c r="K303" s="114">
        <f>(H303*Simulation!$C$24+Simulation!$C$23/12*(1+Simulation!$F$15)^INT((B303-1)/12))*(B303&lt;=Simulation!$F$24*12)</f>
        <v>0</v>
      </c>
      <c r="L303" s="114">
        <f>Simulation!$C$19/12*(1+Simulation!$F$18)^INT((B303-1)/12)*(B303&lt;=Simulation!$F$24*12)</f>
        <v>0</v>
      </c>
      <c r="M303" s="114">
        <f>(Simulation!$C$20/12*(1+Simulation!$F$19)^INT((B303-1)/12)+F303)*(B303&lt;=Simulation!$F$24*12)</f>
        <v>0</v>
      </c>
      <c r="N303" s="114">
        <f ca="1">SUMIF('Détail fiscalité'!$B$8:$B$37,INT(B303/12),'Détail fiscalité'!$CI$8:$CI$37)/12+SUMIF('Détail fiscalité'!$B$8:$B$37,B303/12,'Détail fiscalité'!$CI$8:$CI$37)-SUMIF('Détail fiscalité'!$B$8:$B$37,B303/12-1,'Détail fiscalité'!$CI$8:$CI$37)</f>
        <v>0</v>
      </c>
      <c r="O303" s="116">
        <f t="shared" ca="1" si="24"/>
        <v>0</v>
      </c>
    </row>
    <row r="304" spans="2:15" x14ac:dyDescent="0.15">
      <c r="B304" s="40">
        <f t="shared" si="23"/>
        <v>297</v>
      </c>
      <c r="C304" s="113">
        <f>IF(B304&lt;=MIN(Simulation!$F$10*12+Simulation!$F$12*OR(Simulation!$F$11="Amortissable différé partiel",Simulation!$F$11="Amortissable différé total"),Simulation!$F$24*12),IF(AND(B304&lt;=Simulation!$F$12,OR(Simulation!$F$11="Amortissable différé partiel",Simulation!$F$11="Amortissable différé total")),C303*(1+(Simulation!$F$11="Amortissable différé total")*Simulation!$F$8/12),C303-D304),0)</f>
        <v>0</v>
      </c>
      <c r="D304" s="114">
        <f>IF(B304&lt;=MIN(Simulation!$F$10*12+Simulation!$F$12*OR(Simulation!$F$11="Amortissable différé partiel",Simulation!$F$11="Amortissable différé total"),Simulation!$F$24*12),G304-E304,0)</f>
        <v>0</v>
      </c>
      <c r="E304" s="114">
        <f>IF(B304&lt;=MIN(Simulation!$F$10*12+Simulation!$F$12*OR(Simulation!$F$11="Amortissable différé partiel",Simulation!$F$11="Amortissable différé total"),Simulation!$F$24*12),IF(AND(B304&lt;=Simulation!$F$12,Simulation!$F$11="Amortissable différé total"),0,C303*Simulation!$F$8/12),0)</f>
        <v>0</v>
      </c>
      <c r="F304" s="114">
        <f>IF(B304&lt;=MIN(Simulation!$F$10*12+Simulation!$F$12*OR(Simulation!$F$11="Amortissable différé partiel",Simulation!$F$11="Amortissable différé total"),Simulation!$F$24*12),Simulation!$E$33*Simulation!$F$9/12,0)</f>
        <v>0</v>
      </c>
      <c r="G304" s="115">
        <f>IF(B304&lt;=MIN(Simulation!$F$10*12+Simulation!$F$12*OR(Simulation!$F$11="Amortissable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partiel",IF(B304&lt;=Simulation!$F$12,Simulation!$E$33*Simulation!$F$8/12,PMT(Simulation!$F$8/12,Simulation!$F$10*12,-Simulation!$E$34)),IF(Simulation!$F$11="Amortissable différé total",IF(B304&lt;=Simulation!$F$12,0,PMT(Simulation!$F$8/12,Simulation!$F$10*12,-Simulation!$E$34)),IF(Simulation!$F$11="In fine",IF(B304=Simulation!$F$10*12,Simulation!$E$34,Simulation!$F$8*Simulation!$E$34/12),0)))),0)</f>
        <v>0</v>
      </c>
      <c r="H304" s="113">
        <f>Simulation!$C$16/12*(1+Simulation!$F$15)^INT((B304-1)/12)*(B304&lt;=Simulation!$F$24*12)</f>
        <v>0</v>
      </c>
      <c r="I304" s="114">
        <f>(Simulation!$F$22-VLOOKUP(Simulation!$C$27,'Comparatif fiscal'!$B$8:$E$17,4,FALSE)-C304)*(B304=Simulation!$F$24*12)</f>
        <v>0</v>
      </c>
      <c r="J304" s="114">
        <f>(Simulation!$C$21+Simulation!$C$22)/12*(1+Simulation!$F$17)^INT((B304-1)/12)*(B304&lt;=Simulation!$F$24*12)</f>
        <v>0</v>
      </c>
      <c r="K304" s="114">
        <f>(H304*Simulation!$C$24+Simulation!$C$23/12*(1+Simulation!$F$15)^INT((B304-1)/12))*(B304&lt;=Simulation!$F$24*12)</f>
        <v>0</v>
      </c>
      <c r="L304" s="114">
        <f>Simulation!$C$19/12*(1+Simulation!$F$18)^INT((B304-1)/12)*(B304&lt;=Simulation!$F$24*12)</f>
        <v>0</v>
      </c>
      <c r="M304" s="114">
        <f>(Simulation!$C$20/12*(1+Simulation!$F$19)^INT((B304-1)/12)+F304)*(B304&lt;=Simulation!$F$24*12)</f>
        <v>0</v>
      </c>
      <c r="N304" s="114">
        <f ca="1">SUMIF('Détail fiscalité'!$B$8:$B$37,INT(B304/12),'Détail fiscalité'!$CI$8:$CI$37)/12+SUMIF('Détail fiscalité'!$B$8:$B$37,B304/12,'Détail fiscalité'!$CI$8:$CI$37)-SUMIF('Détail fiscalité'!$B$8:$B$37,B304/12-1,'Détail fiscalité'!$CI$8:$CI$37)</f>
        <v>0</v>
      </c>
      <c r="O304" s="116">
        <f t="shared" ca="1" si="24"/>
        <v>0</v>
      </c>
    </row>
    <row r="305" spans="2:15" x14ac:dyDescent="0.15">
      <c r="B305" s="40">
        <f t="shared" si="23"/>
        <v>298</v>
      </c>
      <c r="C305" s="113">
        <f>IF(B305&lt;=MIN(Simulation!$F$10*12+Simulation!$F$12*OR(Simulation!$F$11="Amortissable différé partiel",Simulation!$F$11="Amortissable différé total"),Simulation!$F$24*12),IF(AND(B305&lt;=Simulation!$F$12,OR(Simulation!$F$11="Amortissable différé partiel",Simulation!$F$11="Amortissable différé total")),C304*(1+(Simulation!$F$11="Amortissable différé total")*Simulation!$F$8/12),C304-D305),0)</f>
        <v>0</v>
      </c>
      <c r="D305" s="114">
        <f>IF(B305&lt;=MIN(Simulation!$F$10*12+Simulation!$F$12*OR(Simulation!$F$11="Amortissable différé partiel",Simulation!$F$11="Amortissable différé total"),Simulation!$F$24*12),G305-E305,0)</f>
        <v>0</v>
      </c>
      <c r="E305" s="114">
        <f>IF(B305&lt;=MIN(Simulation!$F$10*12+Simulation!$F$12*OR(Simulation!$F$11="Amortissable différé partiel",Simulation!$F$11="Amortissable différé total"),Simulation!$F$24*12),IF(AND(B305&lt;=Simulation!$F$12,Simulation!$F$11="Amortissable différé total"),0,C304*Simulation!$F$8/12),0)</f>
        <v>0</v>
      </c>
      <c r="F305" s="114">
        <f>IF(B305&lt;=MIN(Simulation!$F$10*12+Simulation!$F$12*OR(Simulation!$F$11="Amortissable différé partiel",Simulation!$F$11="Amortissable différé total"),Simulation!$F$24*12),Simulation!$E$33*Simulation!$F$9/12,0)</f>
        <v>0</v>
      </c>
      <c r="G305" s="115">
        <f>IF(B305&lt;=MIN(Simulation!$F$10*12+Simulation!$F$12*OR(Simulation!$F$11="Amortissable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partiel",IF(B305&lt;=Simulation!$F$12,Simulation!$E$33*Simulation!$F$8/12,PMT(Simulation!$F$8/12,Simulation!$F$10*12,-Simulation!$E$34)),IF(Simulation!$F$11="Amortissable différé total",IF(B305&lt;=Simulation!$F$12,0,PMT(Simulation!$F$8/12,Simulation!$F$10*12,-Simulation!$E$34)),IF(Simulation!$F$11="In fine",IF(B305=Simulation!$F$10*12,Simulation!$E$34,Simulation!$F$8*Simulation!$E$34/12),0)))),0)</f>
        <v>0</v>
      </c>
      <c r="H305" s="113">
        <f>Simulation!$C$16/12*(1+Simulation!$F$15)^INT((B305-1)/12)*(B305&lt;=Simulation!$F$24*12)</f>
        <v>0</v>
      </c>
      <c r="I305" s="114">
        <f>(Simulation!$F$22-VLOOKUP(Simulation!$C$27,'Comparatif fiscal'!$B$8:$E$17,4,FALSE)-C305)*(B305=Simulation!$F$24*12)</f>
        <v>0</v>
      </c>
      <c r="J305" s="114">
        <f>(Simulation!$C$21+Simulation!$C$22)/12*(1+Simulation!$F$17)^INT((B305-1)/12)*(B305&lt;=Simulation!$F$24*12)</f>
        <v>0</v>
      </c>
      <c r="K305" s="114">
        <f>(H305*Simulation!$C$24+Simulation!$C$23/12*(1+Simulation!$F$15)^INT((B305-1)/12))*(B305&lt;=Simulation!$F$24*12)</f>
        <v>0</v>
      </c>
      <c r="L305" s="114">
        <f>Simulation!$C$19/12*(1+Simulation!$F$18)^INT((B305-1)/12)*(B305&lt;=Simulation!$F$24*12)</f>
        <v>0</v>
      </c>
      <c r="M305" s="114">
        <f>(Simulation!$C$20/12*(1+Simulation!$F$19)^INT((B305-1)/12)+F305)*(B305&lt;=Simulation!$F$24*12)</f>
        <v>0</v>
      </c>
      <c r="N305" s="114">
        <f ca="1">SUMIF('Détail fiscalité'!$B$8:$B$37,INT(B305/12),'Détail fiscalité'!$CI$8:$CI$37)/12+SUMIF('Détail fiscalité'!$B$8:$B$37,B305/12,'Détail fiscalité'!$CI$8:$CI$37)-SUMIF('Détail fiscalité'!$B$8:$B$37,B305/12-1,'Détail fiscalité'!$CI$8:$CI$37)</f>
        <v>0</v>
      </c>
      <c r="O305" s="116">
        <f t="shared" ca="1" si="24"/>
        <v>0</v>
      </c>
    </row>
    <row r="306" spans="2:15" x14ac:dyDescent="0.15">
      <c r="B306" s="40">
        <f t="shared" si="23"/>
        <v>299</v>
      </c>
      <c r="C306" s="113">
        <f>IF(B306&lt;=MIN(Simulation!$F$10*12+Simulation!$F$12*OR(Simulation!$F$11="Amortissable différé partiel",Simulation!$F$11="Amortissable différé total"),Simulation!$F$24*12),IF(AND(B306&lt;=Simulation!$F$12,OR(Simulation!$F$11="Amortissable différé partiel",Simulation!$F$11="Amortissable différé total")),C305*(1+(Simulation!$F$11="Amortissable différé total")*Simulation!$F$8/12),C305-D306),0)</f>
        <v>0</v>
      </c>
      <c r="D306" s="114">
        <f>IF(B306&lt;=MIN(Simulation!$F$10*12+Simulation!$F$12*OR(Simulation!$F$11="Amortissable différé partiel",Simulation!$F$11="Amortissable différé total"),Simulation!$F$24*12),G306-E306,0)</f>
        <v>0</v>
      </c>
      <c r="E306" s="114">
        <f>IF(B306&lt;=MIN(Simulation!$F$10*12+Simulation!$F$12*OR(Simulation!$F$11="Amortissable différé partiel",Simulation!$F$11="Amortissable différé total"),Simulation!$F$24*12),IF(AND(B306&lt;=Simulation!$F$12,Simulation!$F$11="Amortissable différé total"),0,C305*Simulation!$F$8/12),0)</f>
        <v>0</v>
      </c>
      <c r="F306" s="114">
        <f>IF(B306&lt;=MIN(Simulation!$F$10*12+Simulation!$F$12*OR(Simulation!$F$11="Amortissable différé partiel",Simulation!$F$11="Amortissable différé total"),Simulation!$F$24*12),Simulation!$E$33*Simulation!$F$9/12,0)</f>
        <v>0</v>
      </c>
      <c r="G306" s="115">
        <f>IF(B306&lt;=MIN(Simulation!$F$10*12+Simulation!$F$12*OR(Simulation!$F$11="Amortissable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partiel",IF(B306&lt;=Simulation!$F$12,Simulation!$E$33*Simulation!$F$8/12,PMT(Simulation!$F$8/12,Simulation!$F$10*12,-Simulation!$E$34)),IF(Simulation!$F$11="Amortissable différé total",IF(B306&lt;=Simulation!$F$12,0,PMT(Simulation!$F$8/12,Simulation!$F$10*12,-Simulation!$E$34)),IF(Simulation!$F$11="In fine",IF(B306=Simulation!$F$10*12,Simulation!$E$34,Simulation!$F$8*Simulation!$E$34/12),0)))),0)</f>
        <v>0</v>
      </c>
      <c r="H306" s="113">
        <f>Simulation!$C$16/12*(1+Simulation!$F$15)^INT((B306-1)/12)*(B306&lt;=Simulation!$F$24*12)</f>
        <v>0</v>
      </c>
      <c r="I306" s="114">
        <f>(Simulation!$F$22-VLOOKUP(Simulation!$C$27,'Comparatif fiscal'!$B$8:$E$17,4,FALSE)-C306)*(B306=Simulation!$F$24*12)</f>
        <v>0</v>
      </c>
      <c r="J306" s="114">
        <f>(Simulation!$C$21+Simulation!$C$22)/12*(1+Simulation!$F$17)^INT((B306-1)/12)*(B306&lt;=Simulation!$F$24*12)</f>
        <v>0</v>
      </c>
      <c r="K306" s="114">
        <f>(H306*Simulation!$C$24+Simulation!$C$23/12*(1+Simulation!$F$15)^INT((B306-1)/12))*(B306&lt;=Simulation!$F$24*12)</f>
        <v>0</v>
      </c>
      <c r="L306" s="114">
        <f>Simulation!$C$19/12*(1+Simulation!$F$18)^INT((B306-1)/12)*(B306&lt;=Simulation!$F$24*12)</f>
        <v>0</v>
      </c>
      <c r="M306" s="114">
        <f>(Simulation!$C$20/12*(1+Simulation!$F$19)^INT((B306-1)/12)+F306)*(B306&lt;=Simulation!$F$24*12)</f>
        <v>0</v>
      </c>
      <c r="N306" s="114">
        <f ca="1">SUMIF('Détail fiscalité'!$B$8:$B$37,INT(B306/12),'Détail fiscalité'!$CI$8:$CI$37)/12+SUMIF('Détail fiscalité'!$B$8:$B$37,B306/12,'Détail fiscalité'!$CI$8:$CI$37)-SUMIF('Détail fiscalité'!$B$8:$B$37,B306/12-1,'Détail fiscalité'!$CI$8:$CI$37)</f>
        <v>0</v>
      </c>
      <c r="O306" s="116">
        <f t="shared" ca="1" si="24"/>
        <v>0</v>
      </c>
    </row>
    <row r="307" spans="2:15" x14ac:dyDescent="0.15">
      <c r="B307" s="40">
        <f t="shared" si="23"/>
        <v>300</v>
      </c>
      <c r="C307" s="113">
        <f>IF(B307&lt;=MIN(Simulation!$F$10*12+Simulation!$F$12*OR(Simulation!$F$11="Amortissable différé partiel",Simulation!$F$11="Amortissable différé total"),Simulation!$F$24*12),IF(AND(B307&lt;=Simulation!$F$12,OR(Simulation!$F$11="Amortissable différé partiel",Simulation!$F$11="Amortissable différé total")),C306*(1+(Simulation!$F$11="Amortissable différé total")*Simulation!$F$8/12),C306-D307),0)</f>
        <v>0</v>
      </c>
      <c r="D307" s="114">
        <f>IF(B307&lt;=MIN(Simulation!$F$10*12+Simulation!$F$12*OR(Simulation!$F$11="Amortissable différé partiel",Simulation!$F$11="Amortissable différé total"),Simulation!$F$24*12),G307-E307,0)</f>
        <v>0</v>
      </c>
      <c r="E307" s="114">
        <f>IF(B307&lt;=MIN(Simulation!$F$10*12+Simulation!$F$12*OR(Simulation!$F$11="Amortissable différé partiel",Simulation!$F$11="Amortissable différé total"),Simulation!$F$24*12),IF(AND(B307&lt;=Simulation!$F$12,Simulation!$F$11="Amortissable différé total"),0,C306*Simulation!$F$8/12),0)</f>
        <v>0</v>
      </c>
      <c r="F307" s="114">
        <f>IF(B307&lt;=MIN(Simulation!$F$10*12+Simulation!$F$12*OR(Simulation!$F$11="Amortissable différé partiel",Simulation!$F$11="Amortissable différé total"),Simulation!$F$24*12),Simulation!$E$33*Simulation!$F$9/12,0)</f>
        <v>0</v>
      </c>
      <c r="G307" s="115">
        <f>IF(B307&lt;=MIN(Simulation!$F$10*12+Simulation!$F$12*OR(Simulation!$F$11="Amortissable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partiel",IF(B307&lt;=Simulation!$F$12,Simulation!$E$33*Simulation!$F$8/12,PMT(Simulation!$F$8/12,Simulation!$F$10*12,-Simulation!$E$34)),IF(Simulation!$F$11="Amortissable différé total",IF(B307&lt;=Simulation!$F$12,0,PMT(Simulation!$F$8/12,Simulation!$F$10*12,-Simulation!$E$34)),IF(Simulation!$F$11="In fine",IF(B307=Simulation!$F$10*12,Simulation!$E$34,Simulation!$F$8*Simulation!$E$34/12),0)))),0)</f>
        <v>0</v>
      </c>
      <c r="H307" s="113">
        <f>Simulation!$C$16/12*(1+Simulation!$F$15)^INT((B307-1)/12)*(B307&lt;=Simulation!$F$24*12)</f>
        <v>0</v>
      </c>
      <c r="I307" s="114">
        <f>(Simulation!$F$22-VLOOKUP(Simulation!$C$27,'Comparatif fiscal'!$B$8:$E$17,4,FALSE)-C307)*(B307=Simulation!$F$24*12)</f>
        <v>0</v>
      </c>
      <c r="J307" s="114">
        <f>(Simulation!$C$21+Simulation!$C$22)/12*(1+Simulation!$F$17)^INT((B307-1)/12)*(B307&lt;=Simulation!$F$24*12)</f>
        <v>0</v>
      </c>
      <c r="K307" s="114">
        <f>(H307*Simulation!$C$24+Simulation!$C$23/12*(1+Simulation!$F$15)^INT((B307-1)/12))*(B307&lt;=Simulation!$F$24*12)</f>
        <v>0</v>
      </c>
      <c r="L307" s="114">
        <f>Simulation!$C$19/12*(1+Simulation!$F$18)^INT((B307-1)/12)*(B307&lt;=Simulation!$F$24*12)</f>
        <v>0</v>
      </c>
      <c r="M307" s="114">
        <f>(Simulation!$C$20/12*(1+Simulation!$F$19)^INT((B307-1)/12)+F307)*(B307&lt;=Simulation!$F$24*12)</f>
        <v>0</v>
      </c>
      <c r="N307" s="114">
        <f ca="1">SUMIF('Détail fiscalité'!$B$8:$B$37,INT(B307/12),'Détail fiscalité'!$CI$8:$CI$37)/12+SUMIF('Détail fiscalité'!$B$8:$B$37,B307/12,'Détail fiscalité'!$CI$8:$CI$37)-SUMIF('Détail fiscalité'!$B$8:$B$37,B307/12-1,'Détail fiscalité'!$CI$8:$CI$37)</f>
        <v>0</v>
      </c>
      <c r="O307" s="116">
        <f t="shared" ca="1" si="24"/>
        <v>0</v>
      </c>
    </row>
    <row r="308" spans="2:15" x14ac:dyDescent="0.15">
      <c r="B308" s="40">
        <f t="shared" si="23"/>
        <v>301</v>
      </c>
      <c r="C308" s="113">
        <f>IF(B308&lt;=MIN(Simulation!$F$10*12+Simulation!$F$12*OR(Simulation!$F$11="Amortissable différé partiel",Simulation!$F$11="Amortissable différé total"),Simulation!$F$24*12),IF(AND(B308&lt;=Simulation!$F$12,OR(Simulation!$F$11="Amortissable différé partiel",Simulation!$F$11="Amortissable différé total")),C307*(1+(Simulation!$F$11="Amortissable différé total")*Simulation!$F$8/12),C307-D308),0)</f>
        <v>0</v>
      </c>
      <c r="D308" s="114">
        <f>IF(B308&lt;=MIN(Simulation!$F$10*12+Simulation!$F$12*OR(Simulation!$F$11="Amortissable différé partiel",Simulation!$F$11="Amortissable différé total"),Simulation!$F$24*12),G308-E308,0)</f>
        <v>0</v>
      </c>
      <c r="E308" s="114">
        <f>IF(B308&lt;=MIN(Simulation!$F$10*12+Simulation!$F$12*OR(Simulation!$F$11="Amortissable différé partiel",Simulation!$F$11="Amortissable différé total"),Simulation!$F$24*12),IF(AND(B308&lt;=Simulation!$F$12,Simulation!$F$11="Amortissable différé total"),0,C307*Simulation!$F$8/12),0)</f>
        <v>0</v>
      </c>
      <c r="F308" s="114">
        <f>IF(B308&lt;=MIN(Simulation!$F$10*12+Simulation!$F$12*OR(Simulation!$F$11="Amortissable différé partiel",Simulation!$F$11="Amortissable différé total"),Simulation!$F$24*12),Simulation!$E$33*Simulation!$F$9/12,0)</f>
        <v>0</v>
      </c>
      <c r="G308" s="115">
        <f>IF(B308&lt;=MIN(Simulation!$F$10*12+Simulation!$F$12*OR(Simulation!$F$11="Amortissable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partiel",IF(B308&lt;=Simulation!$F$12,Simulation!$E$33*Simulation!$F$8/12,PMT(Simulation!$F$8/12,Simulation!$F$10*12,-Simulation!$E$34)),IF(Simulation!$F$11="Amortissable différé total",IF(B308&lt;=Simulation!$F$12,0,PMT(Simulation!$F$8/12,Simulation!$F$10*12,-Simulation!$E$34)),IF(Simulation!$F$11="In fine",IF(B308=Simulation!$F$10*12,Simulation!$E$34,Simulation!$F$8*Simulation!$E$34/12),0)))),0)</f>
        <v>0</v>
      </c>
      <c r="H308" s="113">
        <f>Simulation!$C$16/12*(1+Simulation!$F$15)^INT((B308-1)/12)*(B308&lt;=Simulation!$F$24*12)</f>
        <v>0</v>
      </c>
      <c r="I308" s="114">
        <f>(Simulation!$F$22-VLOOKUP(Simulation!$C$27,'Comparatif fiscal'!$B$8:$E$17,4,FALSE)-C308)*(B308=Simulation!$F$24*12)</f>
        <v>0</v>
      </c>
      <c r="J308" s="114">
        <f>(Simulation!$C$21+Simulation!$C$22)/12*(1+Simulation!$F$17)^INT((B308-1)/12)*(B308&lt;=Simulation!$F$24*12)</f>
        <v>0</v>
      </c>
      <c r="K308" s="114">
        <f>(H308*Simulation!$C$24+Simulation!$C$23/12*(1+Simulation!$F$15)^INT((B308-1)/12))*(B308&lt;=Simulation!$F$24*12)</f>
        <v>0</v>
      </c>
      <c r="L308" s="114">
        <f>Simulation!$C$19/12*(1+Simulation!$F$18)^INT((B308-1)/12)*(B308&lt;=Simulation!$F$24*12)</f>
        <v>0</v>
      </c>
      <c r="M308" s="114">
        <f>(Simulation!$C$20/12*(1+Simulation!$F$19)^INT((B308-1)/12)+F308)*(B308&lt;=Simulation!$F$24*12)</f>
        <v>0</v>
      </c>
      <c r="N308" s="114">
        <f ca="1">SUMIF('Détail fiscalité'!$B$8:$B$37,INT(B308/12),'Détail fiscalité'!$CI$8:$CI$37)/12+SUMIF('Détail fiscalité'!$B$8:$B$37,B308/12,'Détail fiscalité'!$CI$8:$CI$37)-SUMIF('Détail fiscalité'!$B$8:$B$37,B308/12-1,'Détail fiscalité'!$CI$8:$CI$37)</f>
        <v>0</v>
      </c>
      <c r="O308" s="116">
        <f t="shared" ca="1" si="24"/>
        <v>0</v>
      </c>
    </row>
    <row r="309" spans="2:15" x14ac:dyDescent="0.15">
      <c r="B309" s="40">
        <f t="shared" si="23"/>
        <v>302</v>
      </c>
      <c r="C309" s="113">
        <f>IF(B309&lt;=MIN(Simulation!$F$10*12+Simulation!$F$12*OR(Simulation!$F$11="Amortissable différé partiel",Simulation!$F$11="Amortissable différé total"),Simulation!$F$24*12),IF(AND(B309&lt;=Simulation!$F$12,OR(Simulation!$F$11="Amortissable différé partiel",Simulation!$F$11="Amortissable différé total")),C308*(1+(Simulation!$F$11="Amortissable différé total")*Simulation!$F$8/12),C308-D309),0)</f>
        <v>0</v>
      </c>
      <c r="D309" s="114">
        <f>IF(B309&lt;=MIN(Simulation!$F$10*12+Simulation!$F$12*OR(Simulation!$F$11="Amortissable différé partiel",Simulation!$F$11="Amortissable différé total"),Simulation!$F$24*12),G309-E309,0)</f>
        <v>0</v>
      </c>
      <c r="E309" s="114">
        <f>IF(B309&lt;=MIN(Simulation!$F$10*12+Simulation!$F$12*OR(Simulation!$F$11="Amortissable différé partiel",Simulation!$F$11="Amortissable différé total"),Simulation!$F$24*12),IF(AND(B309&lt;=Simulation!$F$12,Simulation!$F$11="Amortissable différé total"),0,C308*Simulation!$F$8/12),0)</f>
        <v>0</v>
      </c>
      <c r="F309" s="114">
        <f>IF(B309&lt;=MIN(Simulation!$F$10*12+Simulation!$F$12*OR(Simulation!$F$11="Amortissable différé partiel",Simulation!$F$11="Amortissable différé total"),Simulation!$F$24*12),Simulation!$E$33*Simulation!$F$9/12,0)</f>
        <v>0</v>
      </c>
      <c r="G309" s="115">
        <f>IF(B309&lt;=MIN(Simulation!$F$10*12+Simulation!$F$12*OR(Simulation!$F$11="Amortissable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partiel",IF(B309&lt;=Simulation!$F$12,Simulation!$E$33*Simulation!$F$8/12,PMT(Simulation!$F$8/12,Simulation!$F$10*12,-Simulation!$E$34)),IF(Simulation!$F$11="Amortissable différé total",IF(B309&lt;=Simulation!$F$12,0,PMT(Simulation!$F$8/12,Simulation!$F$10*12,-Simulation!$E$34)),IF(Simulation!$F$11="In fine",IF(B309=Simulation!$F$10*12,Simulation!$E$34,Simulation!$F$8*Simulation!$E$34/12),0)))),0)</f>
        <v>0</v>
      </c>
      <c r="H309" s="113">
        <f>Simulation!$C$16/12*(1+Simulation!$F$15)^INT((B309-1)/12)*(B309&lt;=Simulation!$F$24*12)</f>
        <v>0</v>
      </c>
      <c r="I309" s="114">
        <f>(Simulation!$F$22-VLOOKUP(Simulation!$C$27,'Comparatif fiscal'!$B$8:$E$17,4,FALSE)-C309)*(B309=Simulation!$F$24*12)</f>
        <v>0</v>
      </c>
      <c r="J309" s="114">
        <f>(Simulation!$C$21+Simulation!$C$22)/12*(1+Simulation!$F$17)^INT((B309-1)/12)*(B309&lt;=Simulation!$F$24*12)</f>
        <v>0</v>
      </c>
      <c r="K309" s="114">
        <f>(H309*Simulation!$C$24+Simulation!$C$23/12*(1+Simulation!$F$15)^INT((B309-1)/12))*(B309&lt;=Simulation!$F$24*12)</f>
        <v>0</v>
      </c>
      <c r="L309" s="114">
        <f>Simulation!$C$19/12*(1+Simulation!$F$18)^INT((B309-1)/12)*(B309&lt;=Simulation!$F$24*12)</f>
        <v>0</v>
      </c>
      <c r="M309" s="114">
        <f>(Simulation!$C$20/12*(1+Simulation!$F$19)^INT((B309-1)/12)+F309)*(B309&lt;=Simulation!$F$24*12)</f>
        <v>0</v>
      </c>
      <c r="N309" s="114">
        <f ca="1">SUMIF('Détail fiscalité'!$B$8:$B$37,INT(B309/12),'Détail fiscalité'!$CI$8:$CI$37)/12+SUMIF('Détail fiscalité'!$B$8:$B$37,B309/12,'Détail fiscalité'!$CI$8:$CI$37)-SUMIF('Détail fiscalité'!$B$8:$B$37,B309/12-1,'Détail fiscalité'!$CI$8:$CI$37)</f>
        <v>0</v>
      </c>
      <c r="O309" s="116">
        <f t="shared" ca="1" si="24"/>
        <v>0</v>
      </c>
    </row>
    <row r="310" spans="2:15" x14ac:dyDescent="0.15">
      <c r="B310" s="40">
        <f t="shared" si="23"/>
        <v>303</v>
      </c>
      <c r="C310" s="113">
        <f>IF(B310&lt;=MIN(Simulation!$F$10*12+Simulation!$F$12*OR(Simulation!$F$11="Amortissable différé partiel",Simulation!$F$11="Amortissable différé total"),Simulation!$F$24*12),IF(AND(B310&lt;=Simulation!$F$12,OR(Simulation!$F$11="Amortissable différé partiel",Simulation!$F$11="Amortissable différé total")),C309*(1+(Simulation!$F$11="Amortissable différé total")*Simulation!$F$8/12),C309-D310),0)</f>
        <v>0</v>
      </c>
      <c r="D310" s="114">
        <f>IF(B310&lt;=MIN(Simulation!$F$10*12+Simulation!$F$12*OR(Simulation!$F$11="Amortissable différé partiel",Simulation!$F$11="Amortissable différé total"),Simulation!$F$24*12),G310-E310,0)</f>
        <v>0</v>
      </c>
      <c r="E310" s="114">
        <f>IF(B310&lt;=MIN(Simulation!$F$10*12+Simulation!$F$12*OR(Simulation!$F$11="Amortissable différé partiel",Simulation!$F$11="Amortissable différé total"),Simulation!$F$24*12),IF(AND(B310&lt;=Simulation!$F$12,Simulation!$F$11="Amortissable différé total"),0,C309*Simulation!$F$8/12),0)</f>
        <v>0</v>
      </c>
      <c r="F310" s="114">
        <f>IF(B310&lt;=MIN(Simulation!$F$10*12+Simulation!$F$12*OR(Simulation!$F$11="Amortissable différé partiel",Simulation!$F$11="Amortissable différé total"),Simulation!$F$24*12),Simulation!$E$33*Simulation!$F$9/12,0)</f>
        <v>0</v>
      </c>
      <c r="G310" s="115">
        <f>IF(B310&lt;=MIN(Simulation!$F$10*12+Simulation!$F$12*OR(Simulation!$F$11="Amortissable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partiel",IF(B310&lt;=Simulation!$F$12,Simulation!$E$33*Simulation!$F$8/12,PMT(Simulation!$F$8/12,Simulation!$F$10*12,-Simulation!$E$34)),IF(Simulation!$F$11="Amortissable différé total",IF(B310&lt;=Simulation!$F$12,0,PMT(Simulation!$F$8/12,Simulation!$F$10*12,-Simulation!$E$34)),IF(Simulation!$F$11="In fine",IF(B310=Simulation!$F$10*12,Simulation!$E$34,Simulation!$F$8*Simulation!$E$34/12),0)))),0)</f>
        <v>0</v>
      </c>
      <c r="H310" s="113">
        <f>Simulation!$C$16/12*(1+Simulation!$F$15)^INT((B310-1)/12)*(B310&lt;=Simulation!$F$24*12)</f>
        <v>0</v>
      </c>
      <c r="I310" s="114">
        <f>(Simulation!$F$22-VLOOKUP(Simulation!$C$27,'Comparatif fiscal'!$B$8:$E$17,4,FALSE)-C310)*(B310=Simulation!$F$24*12)</f>
        <v>0</v>
      </c>
      <c r="J310" s="114">
        <f>(Simulation!$C$21+Simulation!$C$22)/12*(1+Simulation!$F$17)^INT((B310-1)/12)*(B310&lt;=Simulation!$F$24*12)</f>
        <v>0</v>
      </c>
      <c r="K310" s="114">
        <f>(H310*Simulation!$C$24+Simulation!$C$23/12*(1+Simulation!$F$15)^INT((B310-1)/12))*(B310&lt;=Simulation!$F$24*12)</f>
        <v>0</v>
      </c>
      <c r="L310" s="114">
        <f>Simulation!$C$19/12*(1+Simulation!$F$18)^INT((B310-1)/12)*(B310&lt;=Simulation!$F$24*12)</f>
        <v>0</v>
      </c>
      <c r="M310" s="114">
        <f>(Simulation!$C$20/12*(1+Simulation!$F$19)^INT((B310-1)/12)+F310)*(B310&lt;=Simulation!$F$24*12)</f>
        <v>0</v>
      </c>
      <c r="N310" s="114">
        <f ca="1">SUMIF('Détail fiscalité'!$B$8:$B$37,INT(B310/12),'Détail fiscalité'!$CI$8:$CI$37)/12+SUMIF('Détail fiscalité'!$B$8:$B$37,B310/12,'Détail fiscalité'!$CI$8:$CI$37)-SUMIF('Détail fiscalité'!$B$8:$B$37,B310/12-1,'Détail fiscalité'!$CI$8:$CI$37)</f>
        <v>0</v>
      </c>
      <c r="O310" s="116">
        <f t="shared" ca="1" si="24"/>
        <v>0</v>
      </c>
    </row>
    <row r="311" spans="2:15" x14ac:dyDescent="0.15">
      <c r="B311" s="40">
        <f t="shared" si="23"/>
        <v>304</v>
      </c>
      <c r="C311" s="113">
        <f>IF(B311&lt;=MIN(Simulation!$F$10*12+Simulation!$F$12*OR(Simulation!$F$11="Amortissable différé partiel",Simulation!$F$11="Amortissable différé total"),Simulation!$F$24*12),IF(AND(B311&lt;=Simulation!$F$12,OR(Simulation!$F$11="Amortissable différé partiel",Simulation!$F$11="Amortissable différé total")),C310*(1+(Simulation!$F$11="Amortissable différé total")*Simulation!$F$8/12),C310-D311),0)</f>
        <v>0</v>
      </c>
      <c r="D311" s="114">
        <f>IF(B311&lt;=MIN(Simulation!$F$10*12+Simulation!$F$12*OR(Simulation!$F$11="Amortissable différé partiel",Simulation!$F$11="Amortissable différé total"),Simulation!$F$24*12),G311-E311,0)</f>
        <v>0</v>
      </c>
      <c r="E311" s="114">
        <f>IF(B311&lt;=MIN(Simulation!$F$10*12+Simulation!$F$12*OR(Simulation!$F$11="Amortissable différé partiel",Simulation!$F$11="Amortissable différé total"),Simulation!$F$24*12),IF(AND(B311&lt;=Simulation!$F$12,Simulation!$F$11="Amortissable différé total"),0,C310*Simulation!$F$8/12),0)</f>
        <v>0</v>
      </c>
      <c r="F311" s="114">
        <f>IF(B311&lt;=MIN(Simulation!$F$10*12+Simulation!$F$12*OR(Simulation!$F$11="Amortissable différé partiel",Simulation!$F$11="Amortissable différé total"),Simulation!$F$24*12),Simulation!$E$33*Simulation!$F$9/12,0)</f>
        <v>0</v>
      </c>
      <c r="G311" s="115">
        <f>IF(B311&lt;=MIN(Simulation!$F$10*12+Simulation!$F$12*OR(Simulation!$F$11="Amortissable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partiel",IF(B311&lt;=Simulation!$F$12,Simulation!$E$33*Simulation!$F$8/12,PMT(Simulation!$F$8/12,Simulation!$F$10*12,-Simulation!$E$34)),IF(Simulation!$F$11="Amortissable différé total",IF(B311&lt;=Simulation!$F$12,0,PMT(Simulation!$F$8/12,Simulation!$F$10*12,-Simulation!$E$34)),IF(Simulation!$F$11="In fine",IF(B311=Simulation!$F$10*12,Simulation!$E$34,Simulation!$F$8*Simulation!$E$34/12),0)))),0)</f>
        <v>0</v>
      </c>
      <c r="H311" s="113">
        <f>Simulation!$C$16/12*(1+Simulation!$F$15)^INT((B311-1)/12)*(B311&lt;=Simulation!$F$24*12)</f>
        <v>0</v>
      </c>
      <c r="I311" s="114">
        <f>(Simulation!$F$22-VLOOKUP(Simulation!$C$27,'Comparatif fiscal'!$B$8:$E$17,4,FALSE)-C311)*(B311=Simulation!$F$24*12)</f>
        <v>0</v>
      </c>
      <c r="J311" s="114">
        <f>(Simulation!$C$21+Simulation!$C$22)/12*(1+Simulation!$F$17)^INT((B311-1)/12)*(B311&lt;=Simulation!$F$24*12)</f>
        <v>0</v>
      </c>
      <c r="K311" s="114">
        <f>(H311*Simulation!$C$24+Simulation!$C$23/12*(1+Simulation!$F$15)^INT((B311-1)/12))*(B311&lt;=Simulation!$F$24*12)</f>
        <v>0</v>
      </c>
      <c r="L311" s="114">
        <f>Simulation!$C$19/12*(1+Simulation!$F$18)^INT((B311-1)/12)*(B311&lt;=Simulation!$F$24*12)</f>
        <v>0</v>
      </c>
      <c r="M311" s="114">
        <f>(Simulation!$C$20/12*(1+Simulation!$F$19)^INT((B311-1)/12)+F311)*(B311&lt;=Simulation!$F$24*12)</f>
        <v>0</v>
      </c>
      <c r="N311" s="114">
        <f ca="1">SUMIF('Détail fiscalité'!$B$8:$B$37,INT(B311/12),'Détail fiscalité'!$CI$8:$CI$37)/12+SUMIF('Détail fiscalité'!$B$8:$B$37,B311/12,'Détail fiscalité'!$CI$8:$CI$37)-SUMIF('Détail fiscalité'!$B$8:$B$37,B311/12-1,'Détail fiscalité'!$CI$8:$CI$37)</f>
        <v>0</v>
      </c>
      <c r="O311" s="116">
        <f t="shared" ca="1" si="24"/>
        <v>0</v>
      </c>
    </row>
    <row r="312" spans="2:15" x14ac:dyDescent="0.15">
      <c r="B312" s="40">
        <f t="shared" si="23"/>
        <v>305</v>
      </c>
      <c r="C312" s="113">
        <f>IF(B312&lt;=MIN(Simulation!$F$10*12+Simulation!$F$12*OR(Simulation!$F$11="Amortissable différé partiel",Simulation!$F$11="Amortissable différé total"),Simulation!$F$24*12),IF(AND(B312&lt;=Simulation!$F$12,OR(Simulation!$F$11="Amortissable différé partiel",Simulation!$F$11="Amortissable différé total")),C311*(1+(Simulation!$F$11="Amortissable différé total")*Simulation!$F$8/12),C311-D312),0)</f>
        <v>0</v>
      </c>
      <c r="D312" s="114">
        <f>IF(B312&lt;=MIN(Simulation!$F$10*12+Simulation!$F$12*OR(Simulation!$F$11="Amortissable différé partiel",Simulation!$F$11="Amortissable différé total"),Simulation!$F$24*12),G312-E312,0)</f>
        <v>0</v>
      </c>
      <c r="E312" s="114">
        <f>IF(B312&lt;=MIN(Simulation!$F$10*12+Simulation!$F$12*OR(Simulation!$F$11="Amortissable différé partiel",Simulation!$F$11="Amortissable différé total"),Simulation!$F$24*12),IF(AND(B312&lt;=Simulation!$F$12,Simulation!$F$11="Amortissable différé total"),0,C311*Simulation!$F$8/12),0)</f>
        <v>0</v>
      </c>
      <c r="F312" s="114">
        <f>IF(B312&lt;=MIN(Simulation!$F$10*12+Simulation!$F$12*OR(Simulation!$F$11="Amortissable différé partiel",Simulation!$F$11="Amortissable différé total"),Simulation!$F$24*12),Simulation!$E$33*Simulation!$F$9/12,0)</f>
        <v>0</v>
      </c>
      <c r="G312" s="115">
        <f>IF(B312&lt;=MIN(Simulation!$F$10*12+Simulation!$F$12*OR(Simulation!$F$11="Amortissable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partiel",IF(B312&lt;=Simulation!$F$12,Simulation!$E$33*Simulation!$F$8/12,PMT(Simulation!$F$8/12,Simulation!$F$10*12,-Simulation!$E$34)),IF(Simulation!$F$11="Amortissable différé total",IF(B312&lt;=Simulation!$F$12,0,PMT(Simulation!$F$8/12,Simulation!$F$10*12,-Simulation!$E$34)),IF(Simulation!$F$11="In fine",IF(B312=Simulation!$F$10*12,Simulation!$E$34,Simulation!$F$8*Simulation!$E$34/12),0)))),0)</f>
        <v>0</v>
      </c>
      <c r="H312" s="113">
        <f>Simulation!$C$16/12*(1+Simulation!$F$15)^INT((B312-1)/12)*(B312&lt;=Simulation!$F$24*12)</f>
        <v>0</v>
      </c>
      <c r="I312" s="114">
        <f>(Simulation!$F$22-VLOOKUP(Simulation!$C$27,'Comparatif fiscal'!$B$8:$E$17,4,FALSE)-C312)*(B312=Simulation!$F$24*12)</f>
        <v>0</v>
      </c>
      <c r="J312" s="114">
        <f>(Simulation!$C$21+Simulation!$C$22)/12*(1+Simulation!$F$17)^INT((B312-1)/12)*(B312&lt;=Simulation!$F$24*12)</f>
        <v>0</v>
      </c>
      <c r="K312" s="114">
        <f>(H312*Simulation!$C$24+Simulation!$C$23/12*(1+Simulation!$F$15)^INT((B312-1)/12))*(B312&lt;=Simulation!$F$24*12)</f>
        <v>0</v>
      </c>
      <c r="L312" s="114">
        <f>Simulation!$C$19/12*(1+Simulation!$F$18)^INT((B312-1)/12)*(B312&lt;=Simulation!$F$24*12)</f>
        <v>0</v>
      </c>
      <c r="M312" s="114">
        <f>(Simulation!$C$20/12*(1+Simulation!$F$19)^INT((B312-1)/12)+F312)*(B312&lt;=Simulation!$F$24*12)</f>
        <v>0</v>
      </c>
      <c r="N312" s="114">
        <f ca="1">SUMIF('Détail fiscalité'!$B$8:$B$37,INT(B312/12),'Détail fiscalité'!$CI$8:$CI$37)/12+SUMIF('Détail fiscalité'!$B$8:$B$37,B312/12,'Détail fiscalité'!$CI$8:$CI$37)-SUMIF('Détail fiscalité'!$B$8:$B$37,B312/12-1,'Détail fiscalité'!$CI$8:$CI$37)</f>
        <v>0</v>
      </c>
      <c r="O312" s="116">
        <f t="shared" ca="1" si="24"/>
        <v>0</v>
      </c>
    </row>
    <row r="313" spans="2:15" x14ac:dyDescent="0.15">
      <c r="B313" s="40">
        <f t="shared" si="23"/>
        <v>306</v>
      </c>
      <c r="C313" s="113">
        <f>IF(B313&lt;=MIN(Simulation!$F$10*12+Simulation!$F$12*OR(Simulation!$F$11="Amortissable différé partiel",Simulation!$F$11="Amortissable différé total"),Simulation!$F$24*12),IF(AND(B313&lt;=Simulation!$F$12,OR(Simulation!$F$11="Amortissable différé partiel",Simulation!$F$11="Amortissable différé total")),C312*(1+(Simulation!$F$11="Amortissable différé total")*Simulation!$F$8/12),C312-D313),0)</f>
        <v>0</v>
      </c>
      <c r="D313" s="114">
        <f>IF(B313&lt;=MIN(Simulation!$F$10*12+Simulation!$F$12*OR(Simulation!$F$11="Amortissable différé partiel",Simulation!$F$11="Amortissable différé total"),Simulation!$F$24*12),G313-E313,0)</f>
        <v>0</v>
      </c>
      <c r="E313" s="114">
        <f>IF(B313&lt;=MIN(Simulation!$F$10*12+Simulation!$F$12*OR(Simulation!$F$11="Amortissable différé partiel",Simulation!$F$11="Amortissable différé total"),Simulation!$F$24*12),IF(AND(B313&lt;=Simulation!$F$12,Simulation!$F$11="Amortissable différé total"),0,C312*Simulation!$F$8/12),0)</f>
        <v>0</v>
      </c>
      <c r="F313" s="114">
        <f>IF(B313&lt;=MIN(Simulation!$F$10*12+Simulation!$F$12*OR(Simulation!$F$11="Amortissable différé partiel",Simulation!$F$11="Amortissable différé total"),Simulation!$F$24*12),Simulation!$E$33*Simulation!$F$9/12,0)</f>
        <v>0</v>
      </c>
      <c r="G313" s="115">
        <f>IF(B313&lt;=MIN(Simulation!$F$10*12+Simulation!$F$12*OR(Simulation!$F$11="Amortissable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partiel",IF(B313&lt;=Simulation!$F$12,Simulation!$E$33*Simulation!$F$8/12,PMT(Simulation!$F$8/12,Simulation!$F$10*12,-Simulation!$E$34)),IF(Simulation!$F$11="Amortissable différé total",IF(B313&lt;=Simulation!$F$12,0,PMT(Simulation!$F$8/12,Simulation!$F$10*12,-Simulation!$E$34)),IF(Simulation!$F$11="In fine",IF(B313=Simulation!$F$10*12,Simulation!$E$34,Simulation!$F$8*Simulation!$E$34/12),0)))),0)</f>
        <v>0</v>
      </c>
      <c r="H313" s="113">
        <f>Simulation!$C$16/12*(1+Simulation!$F$15)^INT((B313-1)/12)*(B313&lt;=Simulation!$F$24*12)</f>
        <v>0</v>
      </c>
      <c r="I313" s="114">
        <f>(Simulation!$F$22-VLOOKUP(Simulation!$C$27,'Comparatif fiscal'!$B$8:$E$17,4,FALSE)-C313)*(B313=Simulation!$F$24*12)</f>
        <v>0</v>
      </c>
      <c r="J313" s="114">
        <f>(Simulation!$C$21+Simulation!$C$22)/12*(1+Simulation!$F$17)^INT((B313-1)/12)*(B313&lt;=Simulation!$F$24*12)</f>
        <v>0</v>
      </c>
      <c r="K313" s="114">
        <f>(H313*Simulation!$C$24+Simulation!$C$23/12*(1+Simulation!$F$15)^INT((B313-1)/12))*(B313&lt;=Simulation!$F$24*12)</f>
        <v>0</v>
      </c>
      <c r="L313" s="114">
        <f>Simulation!$C$19/12*(1+Simulation!$F$18)^INT((B313-1)/12)*(B313&lt;=Simulation!$F$24*12)</f>
        <v>0</v>
      </c>
      <c r="M313" s="114">
        <f>(Simulation!$C$20/12*(1+Simulation!$F$19)^INT((B313-1)/12)+F313)*(B313&lt;=Simulation!$F$24*12)</f>
        <v>0</v>
      </c>
      <c r="N313" s="114">
        <f ca="1">SUMIF('Détail fiscalité'!$B$8:$B$37,INT(B313/12),'Détail fiscalité'!$CI$8:$CI$37)/12+SUMIF('Détail fiscalité'!$B$8:$B$37,B313/12,'Détail fiscalité'!$CI$8:$CI$37)-SUMIF('Détail fiscalité'!$B$8:$B$37,B313/12-1,'Détail fiscalité'!$CI$8:$CI$37)</f>
        <v>0</v>
      </c>
      <c r="O313" s="116">
        <f t="shared" ca="1" si="24"/>
        <v>0</v>
      </c>
    </row>
    <row r="314" spans="2:15" x14ac:dyDescent="0.15">
      <c r="B314" s="40">
        <f t="shared" si="23"/>
        <v>307</v>
      </c>
      <c r="C314" s="113">
        <f>IF(B314&lt;=MIN(Simulation!$F$10*12+Simulation!$F$12*OR(Simulation!$F$11="Amortissable différé partiel",Simulation!$F$11="Amortissable différé total"),Simulation!$F$24*12),IF(AND(B314&lt;=Simulation!$F$12,OR(Simulation!$F$11="Amortissable différé partiel",Simulation!$F$11="Amortissable différé total")),C313*(1+(Simulation!$F$11="Amortissable différé total")*Simulation!$F$8/12),C313-D314),0)</f>
        <v>0</v>
      </c>
      <c r="D314" s="114">
        <f>IF(B314&lt;=MIN(Simulation!$F$10*12+Simulation!$F$12*OR(Simulation!$F$11="Amortissable différé partiel",Simulation!$F$11="Amortissable différé total"),Simulation!$F$24*12),G314-E314,0)</f>
        <v>0</v>
      </c>
      <c r="E314" s="114">
        <f>IF(B314&lt;=MIN(Simulation!$F$10*12+Simulation!$F$12*OR(Simulation!$F$11="Amortissable différé partiel",Simulation!$F$11="Amortissable différé total"),Simulation!$F$24*12),IF(AND(B314&lt;=Simulation!$F$12,Simulation!$F$11="Amortissable différé total"),0,C313*Simulation!$F$8/12),0)</f>
        <v>0</v>
      </c>
      <c r="F314" s="114">
        <f>IF(B314&lt;=MIN(Simulation!$F$10*12+Simulation!$F$12*OR(Simulation!$F$11="Amortissable différé partiel",Simulation!$F$11="Amortissable différé total"),Simulation!$F$24*12),Simulation!$E$33*Simulation!$F$9/12,0)</f>
        <v>0</v>
      </c>
      <c r="G314" s="115">
        <f>IF(B314&lt;=MIN(Simulation!$F$10*12+Simulation!$F$12*OR(Simulation!$F$11="Amortissable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partiel",IF(B314&lt;=Simulation!$F$12,Simulation!$E$33*Simulation!$F$8/12,PMT(Simulation!$F$8/12,Simulation!$F$10*12,-Simulation!$E$34)),IF(Simulation!$F$11="Amortissable différé total",IF(B314&lt;=Simulation!$F$12,0,PMT(Simulation!$F$8/12,Simulation!$F$10*12,-Simulation!$E$34)),IF(Simulation!$F$11="In fine",IF(B314=Simulation!$F$10*12,Simulation!$E$34,Simulation!$F$8*Simulation!$E$34/12),0)))),0)</f>
        <v>0</v>
      </c>
      <c r="H314" s="113">
        <f>Simulation!$C$16/12*(1+Simulation!$F$15)^INT((B314-1)/12)*(B314&lt;=Simulation!$F$24*12)</f>
        <v>0</v>
      </c>
      <c r="I314" s="114">
        <f>(Simulation!$F$22-VLOOKUP(Simulation!$C$27,'Comparatif fiscal'!$B$8:$E$17,4,FALSE)-C314)*(B314=Simulation!$F$24*12)</f>
        <v>0</v>
      </c>
      <c r="J314" s="114">
        <f>(Simulation!$C$21+Simulation!$C$22)/12*(1+Simulation!$F$17)^INT((B314-1)/12)*(B314&lt;=Simulation!$F$24*12)</f>
        <v>0</v>
      </c>
      <c r="K314" s="114">
        <f>(H314*Simulation!$C$24+Simulation!$C$23/12*(1+Simulation!$F$15)^INT((B314-1)/12))*(B314&lt;=Simulation!$F$24*12)</f>
        <v>0</v>
      </c>
      <c r="L314" s="114">
        <f>Simulation!$C$19/12*(1+Simulation!$F$18)^INT((B314-1)/12)*(B314&lt;=Simulation!$F$24*12)</f>
        <v>0</v>
      </c>
      <c r="M314" s="114">
        <f>(Simulation!$C$20/12*(1+Simulation!$F$19)^INT((B314-1)/12)+F314)*(B314&lt;=Simulation!$F$24*12)</f>
        <v>0</v>
      </c>
      <c r="N314" s="114">
        <f ca="1">SUMIF('Détail fiscalité'!$B$8:$B$37,INT(B314/12),'Détail fiscalité'!$CI$8:$CI$37)/12+SUMIF('Détail fiscalité'!$B$8:$B$37,B314/12,'Détail fiscalité'!$CI$8:$CI$37)-SUMIF('Détail fiscalité'!$B$8:$B$37,B314/12-1,'Détail fiscalité'!$CI$8:$CI$37)</f>
        <v>0</v>
      </c>
      <c r="O314" s="116">
        <f t="shared" ca="1" si="24"/>
        <v>0</v>
      </c>
    </row>
    <row r="315" spans="2:15" x14ac:dyDescent="0.15">
      <c r="B315" s="40">
        <f t="shared" si="23"/>
        <v>308</v>
      </c>
      <c r="C315" s="113">
        <f>IF(B315&lt;=MIN(Simulation!$F$10*12+Simulation!$F$12*OR(Simulation!$F$11="Amortissable différé partiel",Simulation!$F$11="Amortissable différé total"),Simulation!$F$24*12),IF(AND(B315&lt;=Simulation!$F$12,OR(Simulation!$F$11="Amortissable différé partiel",Simulation!$F$11="Amortissable différé total")),C314*(1+(Simulation!$F$11="Amortissable différé total")*Simulation!$F$8/12),C314-D315),0)</f>
        <v>0</v>
      </c>
      <c r="D315" s="114">
        <f>IF(B315&lt;=MIN(Simulation!$F$10*12+Simulation!$F$12*OR(Simulation!$F$11="Amortissable différé partiel",Simulation!$F$11="Amortissable différé total"),Simulation!$F$24*12),G315-E315,0)</f>
        <v>0</v>
      </c>
      <c r="E315" s="114">
        <f>IF(B315&lt;=MIN(Simulation!$F$10*12+Simulation!$F$12*OR(Simulation!$F$11="Amortissable différé partiel",Simulation!$F$11="Amortissable différé total"),Simulation!$F$24*12),IF(AND(B315&lt;=Simulation!$F$12,Simulation!$F$11="Amortissable différé total"),0,C314*Simulation!$F$8/12),0)</f>
        <v>0</v>
      </c>
      <c r="F315" s="114">
        <f>IF(B315&lt;=MIN(Simulation!$F$10*12+Simulation!$F$12*OR(Simulation!$F$11="Amortissable différé partiel",Simulation!$F$11="Amortissable différé total"),Simulation!$F$24*12),Simulation!$E$33*Simulation!$F$9/12,0)</f>
        <v>0</v>
      </c>
      <c r="G315" s="115">
        <f>IF(B315&lt;=MIN(Simulation!$F$10*12+Simulation!$F$12*OR(Simulation!$F$11="Amortissable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partiel",IF(B315&lt;=Simulation!$F$12,Simulation!$E$33*Simulation!$F$8/12,PMT(Simulation!$F$8/12,Simulation!$F$10*12,-Simulation!$E$34)),IF(Simulation!$F$11="Amortissable différé total",IF(B315&lt;=Simulation!$F$12,0,PMT(Simulation!$F$8/12,Simulation!$F$10*12,-Simulation!$E$34)),IF(Simulation!$F$11="In fine",IF(B315=Simulation!$F$10*12,Simulation!$E$34,Simulation!$F$8*Simulation!$E$34/12),0)))),0)</f>
        <v>0</v>
      </c>
      <c r="H315" s="113">
        <f>Simulation!$C$16/12*(1+Simulation!$F$15)^INT((B315-1)/12)*(B315&lt;=Simulation!$F$24*12)</f>
        <v>0</v>
      </c>
      <c r="I315" s="114">
        <f>(Simulation!$F$22-VLOOKUP(Simulation!$C$27,'Comparatif fiscal'!$B$8:$E$17,4,FALSE)-C315)*(B315=Simulation!$F$24*12)</f>
        <v>0</v>
      </c>
      <c r="J315" s="114">
        <f>(Simulation!$C$21+Simulation!$C$22)/12*(1+Simulation!$F$17)^INT((B315-1)/12)*(B315&lt;=Simulation!$F$24*12)</f>
        <v>0</v>
      </c>
      <c r="K315" s="114">
        <f>(H315*Simulation!$C$24+Simulation!$C$23/12*(1+Simulation!$F$15)^INT((B315-1)/12))*(B315&lt;=Simulation!$F$24*12)</f>
        <v>0</v>
      </c>
      <c r="L315" s="114">
        <f>Simulation!$C$19/12*(1+Simulation!$F$18)^INT((B315-1)/12)*(B315&lt;=Simulation!$F$24*12)</f>
        <v>0</v>
      </c>
      <c r="M315" s="114">
        <f>(Simulation!$C$20/12*(1+Simulation!$F$19)^INT((B315-1)/12)+F315)*(B315&lt;=Simulation!$F$24*12)</f>
        <v>0</v>
      </c>
      <c r="N315" s="114">
        <f ca="1">SUMIF('Détail fiscalité'!$B$8:$B$37,INT(B315/12),'Détail fiscalité'!$CI$8:$CI$37)/12+SUMIF('Détail fiscalité'!$B$8:$B$37,B315/12,'Détail fiscalité'!$CI$8:$CI$37)-SUMIF('Détail fiscalité'!$B$8:$B$37,B315/12-1,'Détail fiscalité'!$CI$8:$CI$37)</f>
        <v>0</v>
      </c>
      <c r="O315" s="116">
        <f t="shared" ca="1" si="24"/>
        <v>0</v>
      </c>
    </row>
    <row r="316" spans="2:15" x14ac:dyDescent="0.15">
      <c r="B316" s="40">
        <f t="shared" si="23"/>
        <v>309</v>
      </c>
      <c r="C316" s="113">
        <f>IF(B316&lt;=MIN(Simulation!$F$10*12+Simulation!$F$12*OR(Simulation!$F$11="Amortissable différé partiel",Simulation!$F$11="Amortissable différé total"),Simulation!$F$24*12),IF(AND(B316&lt;=Simulation!$F$12,OR(Simulation!$F$11="Amortissable différé partiel",Simulation!$F$11="Amortissable différé total")),C315*(1+(Simulation!$F$11="Amortissable différé total")*Simulation!$F$8/12),C315-D316),0)</f>
        <v>0</v>
      </c>
      <c r="D316" s="114">
        <f>IF(B316&lt;=MIN(Simulation!$F$10*12+Simulation!$F$12*OR(Simulation!$F$11="Amortissable différé partiel",Simulation!$F$11="Amortissable différé total"),Simulation!$F$24*12),G316-E316,0)</f>
        <v>0</v>
      </c>
      <c r="E316" s="114">
        <f>IF(B316&lt;=MIN(Simulation!$F$10*12+Simulation!$F$12*OR(Simulation!$F$11="Amortissable différé partiel",Simulation!$F$11="Amortissable différé total"),Simulation!$F$24*12),IF(AND(B316&lt;=Simulation!$F$12,Simulation!$F$11="Amortissable différé total"),0,C315*Simulation!$F$8/12),0)</f>
        <v>0</v>
      </c>
      <c r="F316" s="114">
        <f>IF(B316&lt;=MIN(Simulation!$F$10*12+Simulation!$F$12*OR(Simulation!$F$11="Amortissable différé partiel",Simulation!$F$11="Amortissable différé total"),Simulation!$F$24*12),Simulation!$E$33*Simulation!$F$9/12,0)</f>
        <v>0</v>
      </c>
      <c r="G316" s="115">
        <f>IF(B316&lt;=MIN(Simulation!$F$10*12+Simulation!$F$12*OR(Simulation!$F$11="Amortissable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partiel",IF(B316&lt;=Simulation!$F$12,Simulation!$E$33*Simulation!$F$8/12,PMT(Simulation!$F$8/12,Simulation!$F$10*12,-Simulation!$E$34)),IF(Simulation!$F$11="Amortissable différé total",IF(B316&lt;=Simulation!$F$12,0,PMT(Simulation!$F$8/12,Simulation!$F$10*12,-Simulation!$E$34)),IF(Simulation!$F$11="In fine",IF(B316=Simulation!$F$10*12,Simulation!$E$34,Simulation!$F$8*Simulation!$E$34/12),0)))),0)</f>
        <v>0</v>
      </c>
      <c r="H316" s="113">
        <f>Simulation!$C$16/12*(1+Simulation!$F$15)^INT((B316-1)/12)*(B316&lt;=Simulation!$F$24*12)</f>
        <v>0</v>
      </c>
      <c r="I316" s="114">
        <f>(Simulation!$F$22-VLOOKUP(Simulation!$C$27,'Comparatif fiscal'!$B$8:$E$17,4,FALSE)-C316)*(B316=Simulation!$F$24*12)</f>
        <v>0</v>
      </c>
      <c r="J316" s="114">
        <f>(Simulation!$C$21+Simulation!$C$22)/12*(1+Simulation!$F$17)^INT((B316-1)/12)*(B316&lt;=Simulation!$F$24*12)</f>
        <v>0</v>
      </c>
      <c r="K316" s="114">
        <f>(H316*Simulation!$C$24+Simulation!$C$23/12*(1+Simulation!$F$15)^INT((B316-1)/12))*(B316&lt;=Simulation!$F$24*12)</f>
        <v>0</v>
      </c>
      <c r="L316" s="114">
        <f>Simulation!$C$19/12*(1+Simulation!$F$18)^INT((B316-1)/12)*(B316&lt;=Simulation!$F$24*12)</f>
        <v>0</v>
      </c>
      <c r="M316" s="114">
        <f>(Simulation!$C$20/12*(1+Simulation!$F$19)^INT((B316-1)/12)+F316)*(B316&lt;=Simulation!$F$24*12)</f>
        <v>0</v>
      </c>
      <c r="N316" s="114">
        <f ca="1">SUMIF('Détail fiscalité'!$B$8:$B$37,INT(B316/12),'Détail fiscalité'!$CI$8:$CI$37)/12+SUMIF('Détail fiscalité'!$B$8:$B$37,B316/12,'Détail fiscalité'!$CI$8:$CI$37)-SUMIF('Détail fiscalité'!$B$8:$B$37,B316/12-1,'Détail fiscalité'!$CI$8:$CI$37)</f>
        <v>0</v>
      </c>
      <c r="O316" s="116">
        <f t="shared" ca="1" si="24"/>
        <v>0</v>
      </c>
    </row>
    <row r="317" spans="2:15" x14ac:dyDescent="0.15">
      <c r="B317" s="40">
        <f t="shared" si="23"/>
        <v>310</v>
      </c>
      <c r="C317" s="113">
        <f>IF(B317&lt;=MIN(Simulation!$F$10*12+Simulation!$F$12*OR(Simulation!$F$11="Amortissable différé partiel",Simulation!$F$11="Amortissable différé total"),Simulation!$F$24*12),IF(AND(B317&lt;=Simulation!$F$12,OR(Simulation!$F$11="Amortissable différé partiel",Simulation!$F$11="Amortissable différé total")),C316*(1+(Simulation!$F$11="Amortissable différé total")*Simulation!$F$8/12),C316-D317),0)</f>
        <v>0</v>
      </c>
      <c r="D317" s="114">
        <f>IF(B317&lt;=MIN(Simulation!$F$10*12+Simulation!$F$12*OR(Simulation!$F$11="Amortissable différé partiel",Simulation!$F$11="Amortissable différé total"),Simulation!$F$24*12),G317-E317,0)</f>
        <v>0</v>
      </c>
      <c r="E317" s="114">
        <f>IF(B317&lt;=MIN(Simulation!$F$10*12+Simulation!$F$12*OR(Simulation!$F$11="Amortissable différé partiel",Simulation!$F$11="Amortissable différé total"),Simulation!$F$24*12),IF(AND(B317&lt;=Simulation!$F$12,Simulation!$F$11="Amortissable différé total"),0,C316*Simulation!$F$8/12),0)</f>
        <v>0</v>
      </c>
      <c r="F317" s="114">
        <f>IF(B317&lt;=MIN(Simulation!$F$10*12+Simulation!$F$12*OR(Simulation!$F$11="Amortissable différé partiel",Simulation!$F$11="Amortissable différé total"),Simulation!$F$24*12),Simulation!$E$33*Simulation!$F$9/12,0)</f>
        <v>0</v>
      </c>
      <c r="G317" s="115">
        <f>IF(B317&lt;=MIN(Simulation!$F$10*12+Simulation!$F$12*OR(Simulation!$F$11="Amortissable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partiel",IF(B317&lt;=Simulation!$F$12,Simulation!$E$33*Simulation!$F$8/12,PMT(Simulation!$F$8/12,Simulation!$F$10*12,-Simulation!$E$34)),IF(Simulation!$F$11="Amortissable différé total",IF(B317&lt;=Simulation!$F$12,0,PMT(Simulation!$F$8/12,Simulation!$F$10*12,-Simulation!$E$34)),IF(Simulation!$F$11="In fine",IF(B317=Simulation!$F$10*12,Simulation!$E$34,Simulation!$F$8*Simulation!$E$34/12),0)))),0)</f>
        <v>0</v>
      </c>
      <c r="H317" s="113">
        <f>Simulation!$C$16/12*(1+Simulation!$F$15)^INT((B317-1)/12)*(B317&lt;=Simulation!$F$24*12)</f>
        <v>0</v>
      </c>
      <c r="I317" s="114">
        <f>(Simulation!$F$22-VLOOKUP(Simulation!$C$27,'Comparatif fiscal'!$B$8:$E$17,4,FALSE)-C317)*(B317=Simulation!$F$24*12)</f>
        <v>0</v>
      </c>
      <c r="J317" s="114">
        <f>(Simulation!$C$21+Simulation!$C$22)/12*(1+Simulation!$F$17)^INT((B317-1)/12)*(B317&lt;=Simulation!$F$24*12)</f>
        <v>0</v>
      </c>
      <c r="K317" s="114">
        <f>(H317*Simulation!$C$24+Simulation!$C$23/12*(1+Simulation!$F$15)^INT((B317-1)/12))*(B317&lt;=Simulation!$F$24*12)</f>
        <v>0</v>
      </c>
      <c r="L317" s="114">
        <f>Simulation!$C$19/12*(1+Simulation!$F$18)^INT((B317-1)/12)*(B317&lt;=Simulation!$F$24*12)</f>
        <v>0</v>
      </c>
      <c r="M317" s="114">
        <f>(Simulation!$C$20/12*(1+Simulation!$F$19)^INT((B317-1)/12)+F317)*(B317&lt;=Simulation!$F$24*12)</f>
        <v>0</v>
      </c>
      <c r="N317" s="114">
        <f ca="1">SUMIF('Détail fiscalité'!$B$8:$B$37,INT(B317/12),'Détail fiscalité'!$CI$8:$CI$37)/12+SUMIF('Détail fiscalité'!$B$8:$B$37,B317/12,'Détail fiscalité'!$CI$8:$CI$37)-SUMIF('Détail fiscalité'!$B$8:$B$37,B317/12-1,'Détail fiscalité'!$CI$8:$CI$37)</f>
        <v>0</v>
      </c>
      <c r="O317" s="116">
        <f t="shared" ca="1" si="24"/>
        <v>0</v>
      </c>
    </row>
    <row r="318" spans="2:15" x14ac:dyDescent="0.15">
      <c r="B318" s="40">
        <f t="shared" si="23"/>
        <v>311</v>
      </c>
      <c r="C318" s="113">
        <f>IF(B318&lt;=MIN(Simulation!$F$10*12+Simulation!$F$12*OR(Simulation!$F$11="Amortissable différé partiel",Simulation!$F$11="Amortissable différé total"),Simulation!$F$24*12),IF(AND(B318&lt;=Simulation!$F$12,OR(Simulation!$F$11="Amortissable différé partiel",Simulation!$F$11="Amortissable différé total")),C317*(1+(Simulation!$F$11="Amortissable différé total")*Simulation!$F$8/12),C317-D318),0)</f>
        <v>0</v>
      </c>
      <c r="D318" s="114">
        <f>IF(B318&lt;=MIN(Simulation!$F$10*12+Simulation!$F$12*OR(Simulation!$F$11="Amortissable différé partiel",Simulation!$F$11="Amortissable différé total"),Simulation!$F$24*12),G318-E318,0)</f>
        <v>0</v>
      </c>
      <c r="E318" s="114">
        <f>IF(B318&lt;=MIN(Simulation!$F$10*12+Simulation!$F$12*OR(Simulation!$F$11="Amortissable différé partiel",Simulation!$F$11="Amortissable différé total"),Simulation!$F$24*12),IF(AND(B318&lt;=Simulation!$F$12,Simulation!$F$11="Amortissable différé total"),0,C317*Simulation!$F$8/12),0)</f>
        <v>0</v>
      </c>
      <c r="F318" s="114">
        <f>IF(B318&lt;=MIN(Simulation!$F$10*12+Simulation!$F$12*OR(Simulation!$F$11="Amortissable différé partiel",Simulation!$F$11="Amortissable différé total"),Simulation!$F$24*12),Simulation!$E$33*Simulation!$F$9/12,0)</f>
        <v>0</v>
      </c>
      <c r="G318" s="115">
        <f>IF(B318&lt;=MIN(Simulation!$F$10*12+Simulation!$F$12*OR(Simulation!$F$11="Amortissable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partiel",IF(B318&lt;=Simulation!$F$12,Simulation!$E$33*Simulation!$F$8/12,PMT(Simulation!$F$8/12,Simulation!$F$10*12,-Simulation!$E$34)),IF(Simulation!$F$11="Amortissable différé total",IF(B318&lt;=Simulation!$F$12,0,PMT(Simulation!$F$8/12,Simulation!$F$10*12,-Simulation!$E$34)),IF(Simulation!$F$11="In fine",IF(B318=Simulation!$F$10*12,Simulation!$E$34,Simulation!$F$8*Simulation!$E$34/12),0)))),0)</f>
        <v>0</v>
      </c>
      <c r="H318" s="113">
        <f>Simulation!$C$16/12*(1+Simulation!$F$15)^INT((B318-1)/12)*(B318&lt;=Simulation!$F$24*12)</f>
        <v>0</v>
      </c>
      <c r="I318" s="114">
        <f>(Simulation!$F$22-VLOOKUP(Simulation!$C$27,'Comparatif fiscal'!$B$8:$E$17,4,FALSE)-C318)*(B318=Simulation!$F$24*12)</f>
        <v>0</v>
      </c>
      <c r="J318" s="114">
        <f>(Simulation!$C$21+Simulation!$C$22)/12*(1+Simulation!$F$17)^INT((B318-1)/12)*(B318&lt;=Simulation!$F$24*12)</f>
        <v>0</v>
      </c>
      <c r="K318" s="114">
        <f>(H318*Simulation!$C$24+Simulation!$C$23/12*(1+Simulation!$F$15)^INT((B318-1)/12))*(B318&lt;=Simulation!$F$24*12)</f>
        <v>0</v>
      </c>
      <c r="L318" s="114">
        <f>Simulation!$C$19/12*(1+Simulation!$F$18)^INT((B318-1)/12)*(B318&lt;=Simulation!$F$24*12)</f>
        <v>0</v>
      </c>
      <c r="M318" s="114">
        <f>(Simulation!$C$20/12*(1+Simulation!$F$19)^INT((B318-1)/12)+F318)*(B318&lt;=Simulation!$F$24*12)</f>
        <v>0</v>
      </c>
      <c r="N318" s="114">
        <f ca="1">SUMIF('Détail fiscalité'!$B$8:$B$37,INT(B318/12),'Détail fiscalité'!$CI$8:$CI$37)/12+SUMIF('Détail fiscalité'!$B$8:$B$37,B318/12,'Détail fiscalité'!$CI$8:$CI$37)-SUMIF('Détail fiscalité'!$B$8:$B$37,B318/12-1,'Détail fiscalité'!$CI$8:$CI$37)</f>
        <v>0</v>
      </c>
      <c r="O318" s="116">
        <f t="shared" ca="1" si="24"/>
        <v>0</v>
      </c>
    </row>
    <row r="319" spans="2:15" x14ac:dyDescent="0.15">
      <c r="B319" s="40">
        <f t="shared" si="23"/>
        <v>312</v>
      </c>
      <c r="C319" s="113">
        <f>IF(B319&lt;=MIN(Simulation!$F$10*12+Simulation!$F$12*OR(Simulation!$F$11="Amortissable différé partiel",Simulation!$F$11="Amortissable différé total"),Simulation!$F$24*12),IF(AND(B319&lt;=Simulation!$F$12,OR(Simulation!$F$11="Amortissable différé partiel",Simulation!$F$11="Amortissable différé total")),C318*(1+(Simulation!$F$11="Amortissable différé total")*Simulation!$F$8/12),C318-D319),0)</f>
        <v>0</v>
      </c>
      <c r="D319" s="114">
        <f>IF(B319&lt;=MIN(Simulation!$F$10*12+Simulation!$F$12*OR(Simulation!$F$11="Amortissable différé partiel",Simulation!$F$11="Amortissable différé total"),Simulation!$F$24*12),G319-E319,0)</f>
        <v>0</v>
      </c>
      <c r="E319" s="114">
        <f>IF(B319&lt;=MIN(Simulation!$F$10*12+Simulation!$F$12*OR(Simulation!$F$11="Amortissable différé partiel",Simulation!$F$11="Amortissable différé total"),Simulation!$F$24*12),IF(AND(B319&lt;=Simulation!$F$12,Simulation!$F$11="Amortissable différé total"),0,C318*Simulation!$F$8/12),0)</f>
        <v>0</v>
      </c>
      <c r="F319" s="114">
        <f>IF(B319&lt;=MIN(Simulation!$F$10*12+Simulation!$F$12*OR(Simulation!$F$11="Amortissable différé partiel",Simulation!$F$11="Amortissable différé total"),Simulation!$F$24*12),Simulation!$E$33*Simulation!$F$9/12,0)</f>
        <v>0</v>
      </c>
      <c r="G319" s="115">
        <f>IF(B319&lt;=MIN(Simulation!$F$10*12+Simulation!$F$12*OR(Simulation!$F$11="Amortissable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partiel",IF(B319&lt;=Simulation!$F$12,Simulation!$E$33*Simulation!$F$8/12,PMT(Simulation!$F$8/12,Simulation!$F$10*12,-Simulation!$E$34)),IF(Simulation!$F$11="Amortissable différé total",IF(B319&lt;=Simulation!$F$12,0,PMT(Simulation!$F$8/12,Simulation!$F$10*12,-Simulation!$E$34)),IF(Simulation!$F$11="In fine",IF(B319=Simulation!$F$10*12,Simulation!$E$34,Simulation!$F$8*Simulation!$E$34/12),0)))),0)</f>
        <v>0</v>
      </c>
      <c r="H319" s="113">
        <f>Simulation!$C$16/12*(1+Simulation!$F$15)^INT((B319-1)/12)*(B319&lt;=Simulation!$F$24*12)</f>
        <v>0</v>
      </c>
      <c r="I319" s="114">
        <f>(Simulation!$F$22-VLOOKUP(Simulation!$C$27,'Comparatif fiscal'!$B$8:$E$17,4,FALSE)-C319)*(B319=Simulation!$F$24*12)</f>
        <v>0</v>
      </c>
      <c r="J319" s="114">
        <f>(Simulation!$C$21+Simulation!$C$22)/12*(1+Simulation!$F$17)^INT((B319-1)/12)*(B319&lt;=Simulation!$F$24*12)</f>
        <v>0</v>
      </c>
      <c r="K319" s="114">
        <f>(H319*Simulation!$C$24+Simulation!$C$23/12*(1+Simulation!$F$15)^INT((B319-1)/12))*(B319&lt;=Simulation!$F$24*12)</f>
        <v>0</v>
      </c>
      <c r="L319" s="114">
        <f>Simulation!$C$19/12*(1+Simulation!$F$18)^INT((B319-1)/12)*(B319&lt;=Simulation!$F$24*12)</f>
        <v>0</v>
      </c>
      <c r="M319" s="114">
        <f>(Simulation!$C$20/12*(1+Simulation!$F$19)^INT((B319-1)/12)+F319)*(B319&lt;=Simulation!$F$24*12)</f>
        <v>0</v>
      </c>
      <c r="N319" s="114">
        <f ca="1">SUMIF('Détail fiscalité'!$B$8:$B$37,INT(B319/12),'Détail fiscalité'!$CI$8:$CI$37)/12+SUMIF('Détail fiscalité'!$B$8:$B$37,B319/12,'Détail fiscalité'!$CI$8:$CI$37)-SUMIF('Détail fiscalité'!$B$8:$B$37,B319/12-1,'Détail fiscalité'!$CI$8:$CI$37)</f>
        <v>0</v>
      </c>
      <c r="O319" s="116">
        <f t="shared" ca="1" si="24"/>
        <v>0</v>
      </c>
    </row>
    <row r="320" spans="2:15" x14ac:dyDescent="0.15">
      <c r="B320" s="40">
        <f t="shared" si="23"/>
        <v>313</v>
      </c>
      <c r="C320" s="113">
        <f>IF(B320&lt;=MIN(Simulation!$F$10*12+Simulation!$F$12*OR(Simulation!$F$11="Amortissable différé partiel",Simulation!$F$11="Amortissable différé total"),Simulation!$F$24*12),IF(AND(B320&lt;=Simulation!$F$12,OR(Simulation!$F$11="Amortissable différé partiel",Simulation!$F$11="Amortissable différé total")),C319*(1+(Simulation!$F$11="Amortissable différé total")*Simulation!$F$8/12),C319-D320),0)</f>
        <v>0</v>
      </c>
      <c r="D320" s="114">
        <f>IF(B320&lt;=MIN(Simulation!$F$10*12+Simulation!$F$12*OR(Simulation!$F$11="Amortissable différé partiel",Simulation!$F$11="Amortissable différé total"),Simulation!$F$24*12),G320-E320,0)</f>
        <v>0</v>
      </c>
      <c r="E320" s="114">
        <f>IF(B320&lt;=MIN(Simulation!$F$10*12+Simulation!$F$12*OR(Simulation!$F$11="Amortissable différé partiel",Simulation!$F$11="Amortissable différé total"),Simulation!$F$24*12),IF(AND(B320&lt;=Simulation!$F$12,Simulation!$F$11="Amortissable différé total"),0,C319*Simulation!$F$8/12),0)</f>
        <v>0</v>
      </c>
      <c r="F320" s="114">
        <f>IF(B320&lt;=MIN(Simulation!$F$10*12+Simulation!$F$12*OR(Simulation!$F$11="Amortissable différé partiel",Simulation!$F$11="Amortissable différé total"),Simulation!$F$24*12),Simulation!$E$33*Simulation!$F$9/12,0)</f>
        <v>0</v>
      </c>
      <c r="G320" s="115">
        <f>IF(B320&lt;=MIN(Simulation!$F$10*12+Simulation!$F$12*OR(Simulation!$F$11="Amortissable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partiel",IF(B320&lt;=Simulation!$F$12,Simulation!$E$33*Simulation!$F$8/12,PMT(Simulation!$F$8/12,Simulation!$F$10*12,-Simulation!$E$34)),IF(Simulation!$F$11="Amortissable différé total",IF(B320&lt;=Simulation!$F$12,0,PMT(Simulation!$F$8/12,Simulation!$F$10*12,-Simulation!$E$34)),IF(Simulation!$F$11="In fine",IF(B320=Simulation!$F$10*12,Simulation!$E$34,Simulation!$F$8*Simulation!$E$34/12),0)))),0)</f>
        <v>0</v>
      </c>
      <c r="H320" s="113">
        <f>Simulation!$C$16/12*(1+Simulation!$F$15)^INT((B320-1)/12)*(B320&lt;=Simulation!$F$24*12)</f>
        <v>0</v>
      </c>
      <c r="I320" s="114">
        <f>(Simulation!$F$22-VLOOKUP(Simulation!$C$27,'Comparatif fiscal'!$B$8:$E$17,4,FALSE)-C320)*(B320=Simulation!$F$24*12)</f>
        <v>0</v>
      </c>
      <c r="J320" s="114">
        <f>(Simulation!$C$21+Simulation!$C$22)/12*(1+Simulation!$F$17)^INT((B320-1)/12)*(B320&lt;=Simulation!$F$24*12)</f>
        <v>0</v>
      </c>
      <c r="K320" s="114">
        <f>(H320*Simulation!$C$24+Simulation!$C$23/12*(1+Simulation!$F$15)^INT((B320-1)/12))*(B320&lt;=Simulation!$F$24*12)</f>
        <v>0</v>
      </c>
      <c r="L320" s="114">
        <f>Simulation!$C$19/12*(1+Simulation!$F$18)^INT((B320-1)/12)*(B320&lt;=Simulation!$F$24*12)</f>
        <v>0</v>
      </c>
      <c r="M320" s="114">
        <f>(Simulation!$C$20/12*(1+Simulation!$F$19)^INT((B320-1)/12)+F320)*(B320&lt;=Simulation!$F$24*12)</f>
        <v>0</v>
      </c>
      <c r="N320" s="114">
        <f ca="1">SUMIF('Détail fiscalité'!$B$8:$B$37,INT(B320/12),'Détail fiscalité'!$CI$8:$CI$37)/12+SUMIF('Détail fiscalité'!$B$8:$B$37,B320/12,'Détail fiscalité'!$CI$8:$CI$37)-SUMIF('Détail fiscalité'!$B$8:$B$37,B320/12-1,'Détail fiscalité'!$CI$8:$CI$37)</f>
        <v>0</v>
      </c>
      <c r="O320" s="116">
        <f t="shared" ca="1" si="24"/>
        <v>0</v>
      </c>
    </row>
    <row r="321" spans="2:15" x14ac:dyDescent="0.15">
      <c r="B321" s="40">
        <f t="shared" si="23"/>
        <v>314</v>
      </c>
      <c r="C321" s="113">
        <f>IF(B321&lt;=MIN(Simulation!$F$10*12+Simulation!$F$12*OR(Simulation!$F$11="Amortissable différé partiel",Simulation!$F$11="Amortissable différé total"),Simulation!$F$24*12),IF(AND(B321&lt;=Simulation!$F$12,OR(Simulation!$F$11="Amortissable différé partiel",Simulation!$F$11="Amortissable différé total")),C320*(1+(Simulation!$F$11="Amortissable différé total")*Simulation!$F$8/12),C320-D321),0)</f>
        <v>0</v>
      </c>
      <c r="D321" s="114">
        <f>IF(B321&lt;=MIN(Simulation!$F$10*12+Simulation!$F$12*OR(Simulation!$F$11="Amortissable différé partiel",Simulation!$F$11="Amortissable différé total"),Simulation!$F$24*12),G321-E321,0)</f>
        <v>0</v>
      </c>
      <c r="E321" s="114">
        <f>IF(B321&lt;=MIN(Simulation!$F$10*12+Simulation!$F$12*OR(Simulation!$F$11="Amortissable différé partiel",Simulation!$F$11="Amortissable différé total"),Simulation!$F$24*12),IF(AND(B321&lt;=Simulation!$F$12,Simulation!$F$11="Amortissable différé total"),0,C320*Simulation!$F$8/12),0)</f>
        <v>0</v>
      </c>
      <c r="F321" s="114">
        <f>IF(B321&lt;=MIN(Simulation!$F$10*12+Simulation!$F$12*OR(Simulation!$F$11="Amortissable différé partiel",Simulation!$F$11="Amortissable différé total"),Simulation!$F$24*12),Simulation!$E$33*Simulation!$F$9/12,0)</f>
        <v>0</v>
      </c>
      <c r="G321" s="115">
        <f>IF(B321&lt;=MIN(Simulation!$F$10*12+Simulation!$F$12*OR(Simulation!$F$11="Amortissable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partiel",IF(B321&lt;=Simulation!$F$12,Simulation!$E$33*Simulation!$F$8/12,PMT(Simulation!$F$8/12,Simulation!$F$10*12,-Simulation!$E$34)),IF(Simulation!$F$11="Amortissable différé total",IF(B321&lt;=Simulation!$F$12,0,PMT(Simulation!$F$8/12,Simulation!$F$10*12,-Simulation!$E$34)),IF(Simulation!$F$11="In fine",IF(B321=Simulation!$F$10*12,Simulation!$E$34,Simulation!$F$8*Simulation!$E$34/12),0)))),0)</f>
        <v>0</v>
      </c>
      <c r="H321" s="113">
        <f>Simulation!$C$16/12*(1+Simulation!$F$15)^INT((B321-1)/12)*(B321&lt;=Simulation!$F$24*12)</f>
        <v>0</v>
      </c>
      <c r="I321" s="114">
        <f>(Simulation!$F$22-VLOOKUP(Simulation!$C$27,'Comparatif fiscal'!$B$8:$E$17,4,FALSE)-C321)*(B321=Simulation!$F$24*12)</f>
        <v>0</v>
      </c>
      <c r="J321" s="114">
        <f>(Simulation!$C$21+Simulation!$C$22)/12*(1+Simulation!$F$17)^INT((B321-1)/12)*(B321&lt;=Simulation!$F$24*12)</f>
        <v>0</v>
      </c>
      <c r="K321" s="114">
        <f>(H321*Simulation!$C$24+Simulation!$C$23/12*(1+Simulation!$F$15)^INT((B321-1)/12))*(B321&lt;=Simulation!$F$24*12)</f>
        <v>0</v>
      </c>
      <c r="L321" s="114">
        <f>Simulation!$C$19/12*(1+Simulation!$F$18)^INT((B321-1)/12)*(B321&lt;=Simulation!$F$24*12)</f>
        <v>0</v>
      </c>
      <c r="M321" s="114">
        <f>(Simulation!$C$20/12*(1+Simulation!$F$19)^INT((B321-1)/12)+F321)*(B321&lt;=Simulation!$F$24*12)</f>
        <v>0</v>
      </c>
      <c r="N321" s="114">
        <f ca="1">SUMIF('Détail fiscalité'!$B$8:$B$37,INT(B321/12),'Détail fiscalité'!$CI$8:$CI$37)/12+SUMIF('Détail fiscalité'!$B$8:$B$37,B321/12,'Détail fiscalité'!$CI$8:$CI$37)-SUMIF('Détail fiscalité'!$B$8:$B$37,B321/12-1,'Détail fiscalité'!$CI$8:$CI$37)</f>
        <v>0</v>
      </c>
      <c r="O321" s="116">
        <f t="shared" ca="1" si="24"/>
        <v>0</v>
      </c>
    </row>
    <row r="322" spans="2:15" x14ac:dyDescent="0.15">
      <c r="B322" s="40">
        <f t="shared" si="23"/>
        <v>315</v>
      </c>
      <c r="C322" s="113">
        <f>IF(B322&lt;=MIN(Simulation!$F$10*12+Simulation!$F$12*OR(Simulation!$F$11="Amortissable différé partiel",Simulation!$F$11="Amortissable différé total"),Simulation!$F$24*12),IF(AND(B322&lt;=Simulation!$F$12,OR(Simulation!$F$11="Amortissable différé partiel",Simulation!$F$11="Amortissable différé total")),C321*(1+(Simulation!$F$11="Amortissable différé total")*Simulation!$F$8/12),C321-D322),0)</f>
        <v>0</v>
      </c>
      <c r="D322" s="114">
        <f>IF(B322&lt;=MIN(Simulation!$F$10*12+Simulation!$F$12*OR(Simulation!$F$11="Amortissable différé partiel",Simulation!$F$11="Amortissable différé total"),Simulation!$F$24*12),G322-E322,0)</f>
        <v>0</v>
      </c>
      <c r="E322" s="114">
        <f>IF(B322&lt;=MIN(Simulation!$F$10*12+Simulation!$F$12*OR(Simulation!$F$11="Amortissable différé partiel",Simulation!$F$11="Amortissable différé total"),Simulation!$F$24*12),IF(AND(B322&lt;=Simulation!$F$12,Simulation!$F$11="Amortissable différé total"),0,C321*Simulation!$F$8/12),0)</f>
        <v>0</v>
      </c>
      <c r="F322" s="114">
        <f>IF(B322&lt;=MIN(Simulation!$F$10*12+Simulation!$F$12*OR(Simulation!$F$11="Amortissable différé partiel",Simulation!$F$11="Amortissable différé total"),Simulation!$F$24*12),Simulation!$E$33*Simulation!$F$9/12,0)</f>
        <v>0</v>
      </c>
      <c r="G322" s="115">
        <f>IF(B322&lt;=MIN(Simulation!$F$10*12+Simulation!$F$12*OR(Simulation!$F$11="Amortissable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partiel",IF(B322&lt;=Simulation!$F$12,Simulation!$E$33*Simulation!$F$8/12,PMT(Simulation!$F$8/12,Simulation!$F$10*12,-Simulation!$E$34)),IF(Simulation!$F$11="Amortissable différé total",IF(B322&lt;=Simulation!$F$12,0,PMT(Simulation!$F$8/12,Simulation!$F$10*12,-Simulation!$E$34)),IF(Simulation!$F$11="In fine",IF(B322=Simulation!$F$10*12,Simulation!$E$34,Simulation!$F$8*Simulation!$E$34/12),0)))),0)</f>
        <v>0</v>
      </c>
      <c r="H322" s="113">
        <f>Simulation!$C$16/12*(1+Simulation!$F$15)^INT((B322-1)/12)*(B322&lt;=Simulation!$F$24*12)</f>
        <v>0</v>
      </c>
      <c r="I322" s="114">
        <f>(Simulation!$F$22-VLOOKUP(Simulation!$C$27,'Comparatif fiscal'!$B$8:$E$17,4,FALSE)-C322)*(B322=Simulation!$F$24*12)</f>
        <v>0</v>
      </c>
      <c r="J322" s="114">
        <f>(Simulation!$C$21+Simulation!$C$22)/12*(1+Simulation!$F$17)^INT((B322-1)/12)*(B322&lt;=Simulation!$F$24*12)</f>
        <v>0</v>
      </c>
      <c r="K322" s="114">
        <f>(H322*Simulation!$C$24+Simulation!$C$23/12*(1+Simulation!$F$15)^INT((B322-1)/12))*(B322&lt;=Simulation!$F$24*12)</f>
        <v>0</v>
      </c>
      <c r="L322" s="114">
        <f>Simulation!$C$19/12*(1+Simulation!$F$18)^INT((B322-1)/12)*(B322&lt;=Simulation!$F$24*12)</f>
        <v>0</v>
      </c>
      <c r="M322" s="114">
        <f>(Simulation!$C$20/12*(1+Simulation!$F$19)^INT((B322-1)/12)+F322)*(B322&lt;=Simulation!$F$24*12)</f>
        <v>0</v>
      </c>
      <c r="N322" s="114">
        <f ca="1">SUMIF('Détail fiscalité'!$B$8:$B$37,INT(B322/12),'Détail fiscalité'!$CI$8:$CI$37)/12+SUMIF('Détail fiscalité'!$B$8:$B$37,B322/12,'Détail fiscalité'!$CI$8:$CI$37)-SUMIF('Détail fiscalité'!$B$8:$B$37,B322/12-1,'Détail fiscalité'!$CI$8:$CI$37)</f>
        <v>0</v>
      </c>
      <c r="O322" s="116">
        <f t="shared" ca="1" si="24"/>
        <v>0</v>
      </c>
    </row>
    <row r="323" spans="2:15" x14ac:dyDescent="0.15">
      <c r="B323" s="40">
        <f t="shared" si="23"/>
        <v>316</v>
      </c>
      <c r="C323" s="113">
        <f>IF(B323&lt;=MIN(Simulation!$F$10*12+Simulation!$F$12*OR(Simulation!$F$11="Amortissable différé partiel",Simulation!$F$11="Amortissable différé total"),Simulation!$F$24*12),IF(AND(B323&lt;=Simulation!$F$12,OR(Simulation!$F$11="Amortissable différé partiel",Simulation!$F$11="Amortissable différé total")),C322*(1+(Simulation!$F$11="Amortissable différé total")*Simulation!$F$8/12),C322-D323),0)</f>
        <v>0</v>
      </c>
      <c r="D323" s="114">
        <f>IF(B323&lt;=MIN(Simulation!$F$10*12+Simulation!$F$12*OR(Simulation!$F$11="Amortissable différé partiel",Simulation!$F$11="Amortissable différé total"),Simulation!$F$24*12),G323-E323,0)</f>
        <v>0</v>
      </c>
      <c r="E323" s="114">
        <f>IF(B323&lt;=MIN(Simulation!$F$10*12+Simulation!$F$12*OR(Simulation!$F$11="Amortissable différé partiel",Simulation!$F$11="Amortissable différé total"),Simulation!$F$24*12),IF(AND(B323&lt;=Simulation!$F$12,Simulation!$F$11="Amortissable différé total"),0,C322*Simulation!$F$8/12),0)</f>
        <v>0</v>
      </c>
      <c r="F323" s="114">
        <f>IF(B323&lt;=MIN(Simulation!$F$10*12+Simulation!$F$12*OR(Simulation!$F$11="Amortissable différé partiel",Simulation!$F$11="Amortissable différé total"),Simulation!$F$24*12),Simulation!$E$33*Simulation!$F$9/12,0)</f>
        <v>0</v>
      </c>
      <c r="G323" s="115">
        <f>IF(B323&lt;=MIN(Simulation!$F$10*12+Simulation!$F$12*OR(Simulation!$F$11="Amortissable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partiel",IF(B323&lt;=Simulation!$F$12,Simulation!$E$33*Simulation!$F$8/12,PMT(Simulation!$F$8/12,Simulation!$F$10*12,-Simulation!$E$34)),IF(Simulation!$F$11="Amortissable différé total",IF(B323&lt;=Simulation!$F$12,0,PMT(Simulation!$F$8/12,Simulation!$F$10*12,-Simulation!$E$34)),IF(Simulation!$F$11="In fine",IF(B323=Simulation!$F$10*12,Simulation!$E$34,Simulation!$F$8*Simulation!$E$34/12),0)))),0)</f>
        <v>0</v>
      </c>
      <c r="H323" s="113">
        <f>Simulation!$C$16/12*(1+Simulation!$F$15)^INT((B323-1)/12)*(B323&lt;=Simulation!$F$24*12)</f>
        <v>0</v>
      </c>
      <c r="I323" s="114">
        <f>(Simulation!$F$22-VLOOKUP(Simulation!$C$27,'Comparatif fiscal'!$B$8:$E$17,4,FALSE)-C323)*(B323=Simulation!$F$24*12)</f>
        <v>0</v>
      </c>
      <c r="J323" s="114">
        <f>(Simulation!$C$21+Simulation!$C$22)/12*(1+Simulation!$F$17)^INT((B323-1)/12)*(B323&lt;=Simulation!$F$24*12)</f>
        <v>0</v>
      </c>
      <c r="K323" s="114">
        <f>(H323*Simulation!$C$24+Simulation!$C$23/12*(1+Simulation!$F$15)^INT((B323-1)/12))*(B323&lt;=Simulation!$F$24*12)</f>
        <v>0</v>
      </c>
      <c r="L323" s="114">
        <f>Simulation!$C$19/12*(1+Simulation!$F$18)^INT((B323-1)/12)*(B323&lt;=Simulation!$F$24*12)</f>
        <v>0</v>
      </c>
      <c r="M323" s="114">
        <f>(Simulation!$C$20/12*(1+Simulation!$F$19)^INT((B323-1)/12)+F323)*(B323&lt;=Simulation!$F$24*12)</f>
        <v>0</v>
      </c>
      <c r="N323" s="114">
        <f ca="1">SUMIF('Détail fiscalité'!$B$8:$B$37,INT(B323/12),'Détail fiscalité'!$CI$8:$CI$37)/12+SUMIF('Détail fiscalité'!$B$8:$B$37,B323/12,'Détail fiscalité'!$CI$8:$CI$37)-SUMIF('Détail fiscalité'!$B$8:$B$37,B323/12-1,'Détail fiscalité'!$CI$8:$CI$37)</f>
        <v>0</v>
      </c>
      <c r="O323" s="116">
        <f t="shared" ca="1" si="24"/>
        <v>0</v>
      </c>
    </row>
    <row r="324" spans="2:15" x14ac:dyDescent="0.15">
      <c r="B324" s="40">
        <f t="shared" si="23"/>
        <v>317</v>
      </c>
      <c r="C324" s="113">
        <f>IF(B324&lt;=MIN(Simulation!$F$10*12+Simulation!$F$12*OR(Simulation!$F$11="Amortissable différé partiel",Simulation!$F$11="Amortissable différé total"),Simulation!$F$24*12),IF(AND(B324&lt;=Simulation!$F$12,OR(Simulation!$F$11="Amortissable différé partiel",Simulation!$F$11="Amortissable différé total")),C323*(1+(Simulation!$F$11="Amortissable différé total")*Simulation!$F$8/12),C323-D324),0)</f>
        <v>0</v>
      </c>
      <c r="D324" s="114">
        <f>IF(B324&lt;=MIN(Simulation!$F$10*12+Simulation!$F$12*OR(Simulation!$F$11="Amortissable différé partiel",Simulation!$F$11="Amortissable différé total"),Simulation!$F$24*12),G324-E324,0)</f>
        <v>0</v>
      </c>
      <c r="E324" s="114">
        <f>IF(B324&lt;=MIN(Simulation!$F$10*12+Simulation!$F$12*OR(Simulation!$F$11="Amortissable différé partiel",Simulation!$F$11="Amortissable différé total"),Simulation!$F$24*12),IF(AND(B324&lt;=Simulation!$F$12,Simulation!$F$11="Amortissable différé total"),0,C323*Simulation!$F$8/12),0)</f>
        <v>0</v>
      </c>
      <c r="F324" s="114">
        <f>IF(B324&lt;=MIN(Simulation!$F$10*12+Simulation!$F$12*OR(Simulation!$F$11="Amortissable différé partiel",Simulation!$F$11="Amortissable différé total"),Simulation!$F$24*12),Simulation!$E$33*Simulation!$F$9/12,0)</f>
        <v>0</v>
      </c>
      <c r="G324" s="115">
        <f>IF(B324&lt;=MIN(Simulation!$F$10*12+Simulation!$F$12*OR(Simulation!$F$11="Amortissable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partiel",IF(B324&lt;=Simulation!$F$12,Simulation!$E$33*Simulation!$F$8/12,PMT(Simulation!$F$8/12,Simulation!$F$10*12,-Simulation!$E$34)),IF(Simulation!$F$11="Amortissable différé total",IF(B324&lt;=Simulation!$F$12,0,PMT(Simulation!$F$8/12,Simulation!$F$10*12,-Simulation!$E$34)),IF(Simulation!$F$11="In fine",IF(B324=Simulation!$F$10*12,Simulation!$E$34,Simulation!$F$8*Simulation!$E$34/12),0)))),0)</f>
        <v>0</v>
      </c>
      <c r="H324" s="113">
        <f>Simulation!$C$16/12*(1+Simulation!$F$15)^INT((B324-1)/12)*(B324&lt;=Simulation!$F$24*12)</f>
        <v>0</v>
      </c>
      <c r="I324" s="114">
        <f>(Simulation!$F$22-VLOOKUP(Simulation!$C$27,'Comparatif fiscal'!$B$8:$E$17,4,FALSE)-C324)*(B324=Simulation!$F$24*12)</f>
        <v>0</v>
      </c>
      <c r="J324" s="114">
        <f>(Simulation!$C$21+Simulation!$C$22)/12*(1+Simulation!$F$17)^INT((B324-1)/12)*(B324&lt;=Simulation!$F$24*12)</f>
        <v>0</v>
      </c>
      <c r="K324" s="114">
        <f>(H324*Simulation!$C$24+Simulation!$C$23/12*(1+Simulation!$F$15)^INT((B324-1)/12))*(B324&lt;=Simulation!$F$24*12)</f>
        <v>0</v>
      </c>
      <c r="L324" s="114">
        <f>Simulation!$C$19/12*(1+Simulation!$F$18)^INT((B324-1)/12)*(B324&lt;=Simulation!$F$24*12)</f>
        <v>0</v>
      </c>
      <c r="M324" s="114">
        <f>(Simulation!$C$20/12*(1+Simulation!$F$19)^INT((B324-1)/12)+F324)*(B324&lt;=Simulation!$F$24*12)</f>
        <v>0</v>
      </c>
      <c r="N324" s="114">
        <f ca="1">SUMIF('Détail fiscalité'!$B$8:$B$37,INT(B324/12),'Détail fiscalité'!$CI$8:$CI$37)/12+SUMIF('Détail fiscalité'!$B$8:$B$37,B324/12,'Détail fiscalité'!$CI$8:$CI$37)-SUMIF('Détail fiscalité'!$B$8:$B$37,B324/12-1,'Détail fiscalité'!$CI$8:$CI$37)</f>
        <v>0</v>
      </c>
      <c r="O324" s="116">
        <f t="shared" ca="1" si="24"/>
        <v>0</v>
      </c>
    </row>
    <row r="325" spans="2:15" x14ac:dyDescent="0.15">
      <c r="B325" s="40">
        <f t="shared" si="23"/>
        <v>318</v>
      </c>
      <c r="C325" s="113">
        <f>IF(B325&lt;=MIN(Simulation!$F$10*12+Simulation!$F$12*OR(Simulation!$F$11="Amortissable différé partiel",Simulation!$F$11="Amortissable différé total"),Simulation!$F$24*12),IF(AND(B325&lt;=Simulation!$F$12,OR(Simulation!$F$11="Amortissable différé partiel",Simulation!$F$11="Amortissable différé total")),C324*(1+(Simulation!$F$11="Amortissable différé total")*Simulation!$F$8/12),C324-D325),0)</f>
        <v>0</v>
      </c>
      <c r="D325" s="114">
        <f>IF(B325&lt;=MIN(Simulation!$F$10*12+Simulation!$F$12*OR(Simulation!$F$11="Amortissable différé partiel",Simulation!$F$11="Amortissable différé total"),Simulation!$F$24*12),G325-E325,0)</f>
        <v>0</v>
      </c>
      <c r="E325" s="114">
        <f>IF(B325&lt;=MIN(Simulation!$F$10*12+Simulation!$F$12*OR(Simulation!$F$11="Amortissable différé partiel",Simulation!$F$11="Amortissable différé total"),Simulation!$F$24*12),IF(AND(B325&lt;=Simulation!$F$12,Simulation!$F$11="Amortissable différé total"),0,C324*Simulation!$F$8/12),0)</f>
        <v>0</v>
      </c>
      <c r="F325" s="114">
        <f>IF(B325&lt;=MIN(Simulation!$F$10*12+Simulation!$F$12*OR(Simulation!$F$11="Amortissable différé partiel",Simulation!$F$11="Amortissable différé total"),Simulation!$F$24*12),Simulation!$E$33*Simulation!$F$9/12,0)</f>
        <v>0</v>
      </c>
      <c r="G325" s="115">
        <f>IF(B325&lt;=MIN(Simulation!$F$10*12+Simulation!$F$12*OR(Simulation!$F$11="Amortissable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partiel",IF(B325&lt;=Simulation!$F$12,Simulation!$E$33*Simulation!$F$8/12,PMT(Simulation!$F$8/12,Simulation!$F$10*12,-Simulation!$E$34)),IF(Simulation!$F$11="Amortissable différé total",IF(B325&lt;=Simulation!$F$12,0,PMT(Simulation!$F$8/12,Simulation!$F$10*12,-Simulation!$E$34)),IF(Simulation!$F$11="In fine",IF(B325=Simulation!$F$10*12,Simulation!$E$34,Simulation!$F$8*Simulation!$E$34/12),0)))),0)</f>
        <v>0</v>
      </c>
      <c r="H325" s="113">
        <f>Simulation!$C$16/12*(1+Simulation!$F$15)^INT((B325-1)/12)*(B325&lt;=Simulation!$F$24*12)</f>
        <v>0</v>
      </c>
      <c r="I325" s="114">
        <f>(Simulation!$F$22-VLOOKUP(Simulation!$C$27,'Comparatif fiscal'!$B$8:$E$17,4,FALSE)-C325)*(B325=Simulation!$F$24*12)</f>
        <v>0</v>
      </c>
      <c r="J325" s="114">
        <f>(Simulation!$C$21+Simulation!$C$22)/12*(1+Simulation!$F$17)^INT((B325-1)/12)*(B325&lt;=Simulation!$F$24*12)</f>
        <v>0</v>
      </c>
      <c r="K325" s="114">
        <f>(H325*Simulation!$C$24+Simulation!$C$23/12*(1+Simulation!$F$15)^INT((B325-1)/12))*(B325&lt;=Simulation!$F$24*12)</f>
        <v>0</v>
      </c>
      <c r="L325" s="114">
        <f>Simulation!$C$19/12*(1+Simulation!$F$18)^INT((B325-1)/12)*(B325&lt;=Simulation!$F$24*12)</f>
        <v>0</v>
      </c>
      <c r="M325" s="114">
        <f>(Simulation!$C$20/12*(1+Simulation!$F$19)^INT((B325-1)/12)+F325)*(B325&lt;=Simulation!$F$24*12)</f>
        <v>0</v>
      </c>
      <c r="N325" s="114">
        <f ca="1">SUMIF('Détail fiscalité'!$B$8:$B$37,INT(B325/12),'Détail fiscalité'!$CI$8:$CI$37)/12+SUMIF('Détail fiscalité'!$B$8:$B$37,B325/12,'Détail fiscalité'!$CI$8:$CI$37)-SUMIF('Détail fiscalité'!$B$8:$B$37,B325/12-1,'Détail fiscalité'!$CI$8:$CI$37)</f>
        <v>0</v>
      </c>
      <c r="O325" s="116">
        <f t="shared" ca="1" si="24"/>
        <v>0</v>
      </c>
    </row>
    <row r="326" spans="2:15" x14ac:dyDescent="0.15">
      <c r="B326" s="40">
        <f t="shared" si="23"/>
        <v>319</v>
      </c>
      <c r="C326" s="113">
        <f>IF(B326&lt;=MIN(Simulation!$F$10*12+Simulation!$F$12*OR(Simulation!$F$11="Amortissable différé partiel",Simulation!$F$11="Amortissable différé total"),Simulation!$F$24*12),IF(AND(B326&lt;=Simulation!$F$12,OR(Simulation!$F$11="Amortissable différé partiel",Simulation!$F$11="Amortissable différé total")),C325*(1+(Simulation!$F$11="Amortissable différé total")*Simulation!$F$8/12),C325-D326),0)</f>
        <v>0</v>
      </c>
      <c r="D326" s="114">
        <f>IF(B326&lt;=MIN(Simulation!$F$10*12+Simulation!$F$12*OR(Simulation!$F$11="Amortissable différé partiel",Simulation!$F$11="Amortissable différé total"),Simulation!$F$24*12),G326-E326,0)</f>
        <v>0</v>
      </c>
      <c r="E326" s="114">
        <f>IF(B326&lt;=MIN(Simulation!$F$10*12+Simulation!$F$12*OR(Simulation!$F$11="Amortissable différé partiel",Simulation!$F$11="Amortissable différé total"),Simulation!$F$24*12),IF(AND(B326&lt;=Simulation!$F$12,Simulation!$F$11="Amortissable différé total"),0,C325*Simulation!$F$8/12),0)</f>
        <v>0</v>
      </c>
      <c r="F326" s="114">
        <f>IF(B326&lt;=MIN(Simulation!$F$10*12+Simulation!$F$12*OR(Simulation!$F$11="Amortissable différé partiel",Simulation!$F$11="Amortissable différé total"),Simulation!$F$24*12),Simulation!$E$33*Simulation!$F$9/12,0)</f>
        <v>0</v>
      </c>
      <c r="G326" s="115">
        <f>IF(B326&lt;=MIN(Simulation!$F$10*12+Simulation!$F$12*OR(Simulation!$F$11="Amortissable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partiel",IF(B326&lt;=Simulation!$F$12,Simulation!$E$33*Simulation!$F$8/12,PMT(Simulation!$F$8/12,Simulation!$F$10*12,-Simulation!$E$34)),IF(Simulation!$F$11="Amortissable différé total",IF(B326&lt;=Simulation!$F$12,0,PMT(Simulation!$F$8/12,Simulation!$F$10*12,-Simulation!$E$34)),IF(Simulation!$F$11="In fine",IF(B326=Simulation!$F$10*12,Simulation!$E$34,Simulation!$F$8*Simulation!$E$34/12),0)))),0)</f>
        <v>0</v>
      </c>
      <c r="H326" s="113">
        <f>Simulation!$C$16/12*(1+Simulation!$F$15)^INT((B326-1)/12)*(B326&lt;=Simulation!$F$24*12)</f>
        <v>0</v>
      </c>
      <c r="I326" s="114">
        <f>(Simulation!$F$22-VLOOKUP(Simulation!$C$27,'Comparatif fiscal'!$B$8:$E$17,4,FALSE)-C326)*(B326=Simulation!$F$24*12)</f>
        <v>0</v>
      </c>
      <c r="J326" s="114">
        <f>(Simulation!$C$21+Simulation!$C$22)/12*(1+Simulation!$F$17)^INT((B326-1)/12)*(B326&lt;=Simulation!$F$24*12)</f>
        <v>0</v>
      </c>
      <c r="K326" s="114">
        <f>(H326*Simulation!$C$24+Simulation!$C$23/12*(1+Simulation!$F$15)^INT((B326-1)/12))*(B326&lt;=Simulation!$F$24*12)</f>
        <v>0</v>
      </c>
      <c r="L326" s="114">
        <f>Simulation!$C$19/12*(1+Simulation!$F$18)^INT((B326-1)/12)*(B326&lt;=Simulation!$F$24*12)</f>
        <v>0</v>
      </c>
      <c r="M326" s="114">
        <f>(Simulation!$C$20/12*(1+Simulation!$F$19)^INT((B326-1)/12)+F326)*(B326&lt;=Simulation!$F$24*12)</f>
        <v>0</v>
      </c>
      <c r="N326" s="114">
        <f ca="1">SUMIF('Détail fiscalité'!$B$8:$B$37,INT(B326/12),'Détail fiscalité'!$CI$8:$CI$37)/12+SUMIF('Détail fiscalité'!$B$8:$B$37,B326/12,'Détail fiscalité'!$CI$8:$CI$37)-SUMIF('Détail fiscalité'!$B$8:$B$37,B326/12-1,'Détail fiscalité'!$CI$8:$CI$37)</f>
        <v>0</v>
      </c>
      <c r="O326" s="116">
        <f t="shared" ca="1" si="24"/>
        <v>0</v>
      </c>
    </row>
    <row r="327" spans="2:15" x14ac:dyDescent="0.15">
      <c r="B327" s="40">
        <f t="shared" si="23"/>
        <v>320</v>
      </c>
      <c r="C327" s="113">
        <f>IF(B327&lt;=MIN(Simulation!$F$10*12+Simulation!$F$12*OR(Simulation!$F$11="Amortissable différé partiel",Simulation!$F$11="Amortissable différé total"),Simulation!$F$24*12),IF(AND(B327&lt;=Simulation!$F$12,OR(Simulation!$F$11="Amortissable différé partiel",Simulation!$F$11="Amortissable différé total")),C326*(1+(Simulation!$F$11="Amortissable différé total")*Simulation!$F$8/12),C326-D327),0)</f>
        <v>0</v>
      </c>
      <c r="D327" s="114">
        <f>IF(B327&lt;=MIN(Simulation!$F$10*12+Simulation!$F$12*OR(Simulation!$F$11="Amortissable différé partiel",Simulation!$F$11="Amortissable différé total"),Simulation!$F$24*12),G327-E327,0)</f>
        <v>0</v>
      </c>
      <c r="E327" s="114">
        <f>IF(B327&lt;=MIN(Simulation!$F$10*12+Simulation!$F$12*OR(Simulation!$F$11="Amortissable différé partiel",Simulation!$F$11="Amortissable différé total"),Simulation!$F$24*12),IF(AND(B327&lt;=Simulation!$F$12,Simulation!$F$11="Amortissable différé total"),0,C326*Simulation!$F$8/12),0)</f>
        <v>0</v>
      </c>
      <c r="F327" s="114">
        <f>IF(B327&lt;=MIN(Simulation!$F$10*12+Simulation!$F$12*OR(Simulation!$F$11="Amortissable différé partiel",Simulation!$F$11="Amortissable différé total"),Simulation!$F$24*12),Simulation!$E$33*Simulation!$F$9/12,0)</f>
        <v>0</v>
      </c>
      <c r="G327" s="115">
        <f>IF(B327&lt;=MIN(Simulation!$F$10*12+Simulation!$F$12*OR(Simulation!$F$11="Amortissable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partiel",IF(B327&lt;=Simulation!$F$12,Simulation!$E$33*Simulation!$F$8/12,PMT(Simulation!$F$8/12,Simulation!$F$10*12,-Simulation!$E$34)),IF(Simulation!$F$11="Amortissable différé total",IF(B327&lt;=Simulation!$F$12,0,PMT(Simulation!$F$8/12,Simulation!$F$10*12,-Simulation!$E$34)),IF(Simulation!$F$11="In fine",IF(B327=Simulation!$F$10*12,Simulation!$E$34,Simulation!$F$8*Simulation!$E$34/12),0)))),0)</f>
        <v>0</v>
      </c>
      <c r="H327" s="113">
        <f>Simulation!$C$16/12*(1+Simulation!$F$15)^INT((B327-1)/12)*(B327&lt;=Simulation!$F$24*12)</f>
        <v>0</v>
      </c>
      <c r="I327" s="114">
        <f>(Simulation!$F$22-VLOOKUP(Simulation!$C$27,'Comparatif fiscal'!$B$8:$E$17,4,FALSE)-C327)*(B327=Simulation!$F$24*12)</f>
        <v>0</v>
      </c>
      <c r="J327" s="114">
        <f>(Simulation!$C$21+Simulation!$C$22)/12*(1+Simulation!$F$17)^INT((B327-1)/12)*(B327&lt;=Simulation!$F$24*12)</f>
        <v>0</v>
      </c>
      <c r="K327" s="114">
        <f>(H327*Simulation!$C$24+Simulation!$C$23/12*(1+Simulation!$F$15)^INT((B327-1)/12))*(B327&lt;=Simulation!$F$24*12)</f>
        <v>0</v>
      </c>
      <c r="L327" s="114">
        <f>Simulation!$C$19/12*(1+Simulation!$F$18)^INT((B327-1)/12)*(B327&lt;=Simulation!$F$24*12)</f>
        <v>0</v>
      </c>
      <c r="M327" s="114">
        <f>(Simulation!$C$20/12*(1+Simulation!$F$19)^INT((B327-1)/12)+F327)*(B327&lt;=Simulation!$F$24*12)</f>
        <v>0</v>
      </c>
      <c r="N327" s="114">
        <f ca="1">SUMIF('Détail fiscalité'!$B$8:$B$37,INT(B327/12),'Détail fiscalité'!$CI$8:$CI$37)/12+SUMIF('Détail fiscalité'!$B$8:$B$37,B327/12,'Détail fiscalité'!$CI$8:$CI$37)-SUMIF('Détail fiscalité'!$B$8:$B$37,B327/12-1,'Détail fiscalité'!$CI$8:$CI$37)</f>
        <v>0</v>
      </c>
      <c r="O327" s="116">
        <f t="shared" ca="1" si="24"/>
        <v>0</v>
      </c>
    </row>
    <row r="328" spans="2:15" x14ac:dyDescent="0.15">
      <c r="B328" s="40">
        <f t="shared" ref="B328:B368" si="25">B327+1</f>
        <v>321</v>
      </c>
      <c r="C328" s="113">
        <f>IF(B328&lt;=MIN(Simulation!$F$10*12+Simulation!$F$12*OR(Simulation!$F$11="Amortissable différé partiel",Simulation!$F$11="Amortissable différé total"),Simulation!$F$24*12),IF(AND(B328&lt;=Simulation!$F$12,OR(Simulation!$F$11="Amortissable différé partiel",Simulation!$F$11="Amortissable différé total")),C327*(1+(Simulation!$F$11="Amortissable différé total")*Simulation!$F$8/12),C327-D328),0)</f>
        <v>0</v>
      </c>
      <c r="D328" s="114">
        <f>IF(B328&lt;=MIN(Simulation!$F$10*12+Simulation!$F$12*OR(Simulation!$F$11="Amortissable différé partiel",Simulation!$F$11="Amortissable différé total"),Simulation!$F$24*12),G328-E328,0)</f>
        <v>0</v>
      </c>
      <c r="E328" s="114">
        <f>IF(B328&lt;=MIN(Simulation!$F$10*12+Simulation!$F$12*OR(Simulation!$F$11="Amortissable différé partiel",Simulation!$F$11="Amortissable différé total"),Simulation!$F$24*12),IF(AND(B328&lt;=Simulation!$F$12,Simulation!$F$11="Amortissable différé total"),0,C327*Simulation!$F$8/12),0)</f>
        <v>0</v>
      </c>
      <c r="F328" s="114">
        <f>IF(B328&lt;=MIN(Simulation!$F$10*12+Simulation!$F$12*OR(Simulation!$F$11="Amortissable différé partiel",Simulation!$F$11="Amortissable différé total"),Simulation!$F$24*12),Simulation!$E$33*Simulation!$F$9/12,0)</f>
        <v>0</v>
      </c>
      <c r="G328" s="115">
        <f>IF(B328&lt;=MIN(Simulation!$F$10*12+Simulation!$F$12*OR(Simulation!$F$11="Amortissable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partiel",IF(B328&lt;=Simulation!$F$12,Simulation!$E$33*Simulation!$F$8/12,PMT(Simulation!$F$8/12,Simulation!$F$10*12,-Simulation!$E$34)),IF(Simulation!$F$11="Amortissable différé total",IF(B328&lt;=Simulation!$F$12,0,PMT(Simulation!$F$8/12,Simulation!$F$10*12,-Simulation!$E$34)),IF(Simulation!$F$11="In fine",IF(B328=Simulation!$F$10*12,Simulation!$E$34,Simulation!$F$8*Simulation!$E$34/12),0)))),0)</f>
        <v>0</v>
      </c>
      <c r="H328" s="113">
        <f>Simulation!$C$16/12*(1+Simulation!$F$15)^INT((B328-1)/12)*(B328&lt;=Simulation!$F$24*12)</f>
        <v>0</v>
      </c>
      <c r="I328" s="114">
        <f>(Simulation!$F$22-VLOOKUP(Simulation!$C$27,'Comparatif fiscal'!$B$8:$E$17,4,FALSE)-C328)*(B328=Simulation!$F$24*12)</f>
        <v>0</v>
      </c>
      <c r="J328" s="114">
        <f>(Simulation!$C$21+Simulation!$C$22)/12*(1+Simulation!$F$17)^INT((B328-1)/12)*(B328&lt;=Simulation!$F$24*12)</f>
        <v>0</v>
      </c>
      <c r="K328" s="114">
        <f>(H328*Simulation!$C$24+Simulation!$C$23/12*(1+Simulation!$F$15)^INT((B328-1)/12))*(B328&lt;=Simulation!$F$24*12)</f>
        <v>0</v>
      </c>
      <c r="L328" s="114">
        <f>Simulation!$C$19/12*(1+Simulation!$F$18)^INT((B328-1)/12)*(B328&lt;=Simulation!$F$24*12)</f>
        <v>0</v>
      </c>
      <c r="M328" s="114">
        <f>(Simulation!$C$20/12*(1+Simulation!$F$19)^INT((B328-1)/12)+F328)*(B328&lt;=Simulation!$F$24*12)</f>
        <v>0</v>
      </c>
      <c r="N328" s="114">
        <f ca="1">SUMIF('Détail fiscalité'!$B$8:$B$37,INT(B328/12),'Détail fiscalité'!$CI$8:$CI$37)/12+SUMIF('Détail fiscalité'!$B$8:$B$37,B328/12,'Détail fiscalité'!$CI$8:$CI$37)-SUMIF('Détail fiscalité'!$B$8:$B$37,B328/12-1,'Détail fiscalité'!$CI$8:$CI$37)</f>
        <v>0</v>
      </c>
      <c r="O328" s="116">
        <f t="shared" ca="1" si="24"/>
        <v>0</v>
      </c>
    </row>
    <row r="329" spans="2:15" x14ac:dyDescent="0.15">
      <c r="B329" s="40">
        <f t="shared" si="25"/>
        <v>322</v>
      </c>
      <c r="C329" s="113">
        <f>IF(B329&lt;=MIN(Simulation!$F$10*12+Simulation!$F$12*OR(Simulation!$F$11="Amortissable différé partiel",Simulation!$F$11="Amortissable différé total"),Simulation!$F$24*12),IF(AND(B329&lt;=Simulation!$F$12,OR(Simulation!$F$11="Amortissable différé partiel",Simulation!$F$11="Amortissable différé total")),C328*(1+(Simulation!$F$11="Amortissable différé total")*Simulation!$F$8/12),C328-D329),0)</f>
        <v>0</v>
      </c>
      <c r="D329" s="114">
        <f>IF(B329&lt;=MIN(Simulation!$F$10*12+Simulation!$F$12*OR(Simulation!$F$11="Amortissable différé partiel",Simulation!$F$11="Amortissable différé total"),Simulation!$F$24*12),G329-E329,0)</f>
        <v>0</v>
      </c>
      <c r="E329" s="114">
        <f>IF(B329&lt;=MIN(Simulation!$F$10*12+Simulation!$F$12*OR(Simulation!$F$11="Amortissable différé partiel",Simulation!$F$11="Amortissable différé total"),Simulation!$F$24*12),IF(AND(B329&lt;=Simulation!$F$12,Simulation!$F$11="Amortissable différé total"),0,C328*Simulation!$F$8/12),0)</f>
        <v>0</v>
      </c>
      <c r="F329" s="114">
        <f>IF(B329&lt;=MIN(Simulation!$F$10*12+Simulation!$F$12*OR(Simulation!$F$11="Amortissable différé partiel",Simulation!$F$11="Amortissable différé total"),Simulation!$F$24*12),Simulation!$E$33*Simulation!$F$9/12,0)</f>
        <v>0</v>
      </c>
      <c r="G329" s="115">
        <f>IF(B329&lt;=MIN(Simulation!$F$10*12+Simulation!$F$12*OR(Simulation!$F$11="Amortissable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partiel",IF(B329&lt;=Simulation!$F$12,Simulation!$E$33*Simulation!$F$8/12,PMT(Simulation!$F$8/12,Simulation!$F$10*12,-Simulation!$E$34)),IF(Simulation!$F$11="Amortissable différé total",IF(B329&lt;=Simulation!$F$12,0,PMT(Simulation!$F$8/12,Simulation!$F$10*12,-Simulation!$E$34)),IF(Simulation!$F$11="In fine",IF(B329=Simulation!$F$10*12,Simulation!$E$34,Simulation!$F$8*Simulation!$E$34/12),0)))),0)</f>
        <v>0</v>
      </c>
      <c r="H329" s="113">
        <f>Simulation!$C$16/12*(1+Simulation!$F$15)^INT((B329-1)/12)*(B329&lt;=Simulation!$F$24*12)</f>
        <v>0</v>
      </c>
      <c r="I329" s="114">
        <f>(Simulation!$F$22-VLOOKUP(Simulation!$C$27,'Comparatif fiscal'!$B$8:$E$17,4,FALSE)-C329)*(B329=Simulation!$F$24*12)</f>
        <v>0</v>
      </c>
      <c r="J329" s="114">
        <f>(Simulation!$C$21+Simulation!$C$22)/12*(1+Simulation!$F$17)^INT((B329-1)/12)*(B329&lt;=Simulation!$F$24*12)</f>
        <v>0</v>
      </c>
      <c r="K329" s="114">
        <f>(H329*Simulation!$C$24+Simulation!$C$23/12*(1+Simulation!$F$15)^INT((B329-1)/12))*(B329&lt;=Simulation!$F$24*12)</f>
        <v>0</v>
      </c>
      <c r="L329" s="114">
        <f>Simulation!$C$19/12*(1+Simulation!$F$18)^INT((B329-1)/12)*(B329&lt;=Simulation!$F$24*12)</f>
        <v>0</v>
      </c>
      <c r="M329" s="114">
        <f>(Simulation!$C$20/12*(1+Simulation!$F$19)^INT((B329-1)/12)+F329)*(B329&lt;=Simulation!$F$24*12)</f>
        <v>0</v>
      </c>
      <c r="N329" s="114">
        <f ca="1">SUMIF('Détail fiscalité'!$B$8:$B$37,INT(B329/12),'Détail fiscalité'!$CI$8:$CI$37)/12+SUMIF('Détail fiscalité'!$B$8:$B$37,B329/12,'Détail fiscalité'!$CI$8:$CI$37)-SUMIF('Détail fiscalité'!$B$8:$B$37,B329/12-1,'Détail fiscalité'!$CI$8:$CI$37)</f>
        <v>0</v>
      </c>
      <c r="O329" s="116">
        <f t="shared" ref="O329:O368" ca="1" si="26">SUM(H329:I329)-SUM(G329,J329:N329)</f>
        <v>0</v>
      </c>
    </row>
    <row r="330" spans="2:15" x14ac:dyDescent="0.15">
      <c r="B330" s="40">
        <f t="shared" si="25"/>
        <v>323</v>
      </c>
      <c r="C330" s="113">
        <f>IF(B330&lt;=MIN(Simulation!$F$10*12+Simulation!$F$12*OR(Simulation!$F$11="Amortissable différé partiel",Simulation!$F$11="Amortissable différé total"),Simulation!$F$24*12),IF(AND(B330&lt;=Simulation!$F$12,OR(Simulation!$F$11="Amortissable différé partiel",Simulation!$F$11="Amortissable différé total")),C329*(1+(Simulation!$F$11="Amortissable différé total")*Simulation!$F$8/12),C329-D330),0)</f>
        <v>0</v>
      </c>
      <c r="D330" s="114">
        <f>IF(B330&lt;=MIN(Simulation!$F$10*12+Simulation!$F$12*OR(Simulation!$F$11="Amortissable différé partiel",Simulation!$F$11="Amortissable différé total"),Simulation!$F$24*12),G330-E330,0)</f>
        <v>0</v>
      </c>
      <c r="E330" s="114">
        <f>IF(B330&lt;=MIN(Simulation!$F$10*12+Simulation!$F$12*OR(Simulation!$F$11="Amortissable différé partiel",Simulation!$F$11="Amortissable différé total"),Simulation!$F$24*12),IF(AND(B330&lt;=Simulation!$F$12,Simulation!$F$11="Amortissable différé total"),0,C329*Simulation!$F$8/12),0)</f>
        <v>0</v>
      </c>
      <c r="F330" s="114">
        <f>IF(B330&lt;=MIN(Simulation!$F$10*12+Simulation!$F$12*OR(Simulation!$F$11="Amortissable différé partiel",Simulation!$F$11="Amortissable différé total"),Simulation!$F$24*12),Simulation!$E$33*Simulation!$F$9/12,0)</f>
        <v>0</v>
      </c>
      <c r="G330" s="115">
        <f>IF(B330&lt;=MIN(Simulation!$F$10*12+Simulation!$F$12*OR(Simulation!$F$11="Amortissable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partiel",IF(B330&lt;=Simulation!$F$12,Simulation!$E$33*Simulation!$F$8/12,PMT(Simulation!$F$8/12,Simulation!$F$10*12,-Simulation!$E$34)),IF(Simulation!$F$11="Amortissable différé total",IF(B330&lt;=Simulation!$F$12,0,PMT(Simulation!$F$8/12,Simulation!$F$10*12,-Simulation!$E$34)),IF(Simulation!$F$11="In fine",IF(B330=Simulation!$F$10*12,Simulation!$E$34,Simulation!$F$8*Simulation!$E$34/12),0)))),0)</f>
        <v>0</v>
      </c>
      <c r="H330" s="113">
        <f>Simulation!$C$16/12*(1+Simulation!$F$15)^INT((B330-1)/12)*(B330&lt;=Simulation!$F$24*12)</f>
        <v>0</v>
      </c>
      <c r="I330" s="114">
        <f>(Simulation!$F$22-VLOOKUP(Simulation!$C$27,'Comparatif fiscal'!$B$8:$E$17,4,FALSE)-C330)*(B330=Simulation!$F$24*12)</f>
        <v>0</v>
      </c>
      <c r="J330" s="114">
        <f>(Simulation!$C$21+Simulation!$C$22)/12*(1+Simulation!$F$17)^INT((B330-1)/12)*(B330&lt;=Simulation!$F$24*12)</f>
        <v>0</v>
      </c>
      <c r="K330" s="114">
        <f>(H330*Simulation!$C$24+Simulation!$C$23/12*(1+Simulation!$F$15)^INT((B330-1)/12))*(B330&lt;=Simulation!$F$24*12)</f>
        <v>0</v>
      </c>
      <c r="L330" s="114">
        <f>Simulation!$C$19/12*(1+Simulation!$F$18)^INT((B330-1)/12)*(B330&lt;=Simulation!$F$24*12)</f>
        <v>0</v>
      </c>
      <c r="M330" s="114">
        <f>(Simulation!$C$20/12*(1+Simulation!$F$19)^INT((B330-1)/12)+F330)*(B330&lt;=Simulation!$F$24*12)</f>
        <v>0</v>
      </c>
      <c r="N330" s="114">
        <f ca="1">SUMIF('Détail fiscalité'!$B$8:$B$37,INT(B330/12),'Détail fiscalité'!$CI$8:$CI$37)/12+SUMIF('Détail fiscalité'!$B$8:$B$37,B330/12,'Détail fiscalité'!$CI$8:$CI$37)-SUMIF('Détail fiscalité'!$B$8:$B$37,B330/12-1,'Détail fiscalité'!$CI$8:$CI$37)</f>
        <v>0</v>
      </c>
      <c r="O330" s="116">
        <f t="shared" ca="1" si="26"/>
        <v>0</v>
      </c>
    </row>
    <row r="331" spans="2:15" x14ac:dyDescent="0.15">
      <c r="B331" s="40">
        <f t="shared" si="25"/>
        <v>324</v>
      </c>
      <c r="C331" s="113">
        <f>IF(B331&lt;=MIN(Simulation!$F$10*12+Simulation!$F$12*OR(Simulation!$F$11="Amortissable différé partiel",Simulation!$F$11="Amortissable différé total"),Simulation!$F$24*12),IF(AND(B331&lt;=Simulation!$F$12,OR(Simulation!$F$11="Amortissable différé partiel",Simulation!$F$11="Amortissable différé total")),C330*(1+(Simulation!$F$11="Amortissable différé total")*Simulation!$F$8/12),C330-D331),0)</f>
        <v>0</v>
      </c>
      <c r="D331" s="114">
        <f>IF(B331&lt;=MIN(Simulation!$F$10*12+Simulation!$F$12*OR(Simulation!$F$11="Amortissable différé partiel",Simulation!$F$11="Amortissable différé total"),Simulation!$F$24*12),G331-E331,0)</f>
        <v>0</v>
      </c>
      <c r="E331" s="114">
        <f>IF(B331&lt;=MIN(Simulation!$F$10*12+Simulation!$F$12*OR(Simulation!$F$11="Amortissable différé partiel",Simulation!$F$11="Amortissable différé total"),Simulation!$F$24*12),IF(AND(B331&lt;=Simulation!$F$12,Simulation!$F$11="Amortissable différé total"),0,C330*Simulation!$F$8/12),0)</f>
        <v>0</v>
      </c>
      <c r="F331" s="114">
        <f>IF(B331&lt;=MIN(Simulation!$F$10*12+Simulation!$F$12*OR(Simulation!$F$11="Amortissable différé partiel",Simulation!$F$11="Amortissable différé total"),Simulation!$F$24*12),Simulation!$E$33*Simulation!$F$9/12,0)</f>
        <v>0</v>
      </c>
      <c r="G331" s="115">
        <f>IF(B331&lt;=MIN(Simulation!$F$10*12+Simulation!$F$12*OR(Simulation!$F$11="Amortissable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partiel",IF(B331&lt;=Simulation!$F$12,Simulation!$E$33*Simulation!$F$8/12,PMT(Simulation!$F$8/12,Simulation!$F$10*12,-Simulation!$E$34)),IF(Simulation!$F$11="Amortissable différé total",IF(B331&lt;=Simulation!$F$12,0,PMT(Simulation!$F$8/12,Simulation!$F$10*12,-Simulation!$E$34)),IF(Simulation!$F$11="In fine",IF(B331=Simulation!$F$10*12,Simulation!$E$34,Simulation!$F$8*Simulation!$E$34/12),0)))),0)</f>
        <v>0</v>
      </c>
      <c r="H331" s="113">
        <f>Simulation!$C$16/12*(1+Simulation!$F$15)^INT((B331-1)/12)*(B331&lt;=Simulation!$F$24*12)</f>
        <v>0</v>
      </c>
      <c r="I331" s="114">
        <f>(Simulation!$F$22-VLOOKUP(Simulation!$C$27,'Comparatif fiscal'!$B$8:$E$17,4,FALSE)-C331)*(B331=Simulation!$F$24*12)</f>
        <v>0</v>
      </c>
      <c r="J331" s="114">
        <f>(Simulation!$C$21+Simulation!$C$22)/12*(1+Simulation!$F$17)^INT((B331-1)/12)*(B331&lt;=Simulation!$F$24*12)</f>
        <v>0</v>
      </c>
      <c r="K331" s="114">
        <f>(H331*Simulation!$C$24+Simulation!$C$23/12*(1+Simulation!$F$15)^INT((B331-1)/12))*(B331&lt;=Simulation!$F$24*12)</f>
        <v>0</v>
      </c>
      <c r="L331" s="114">
        <f>Simulation!$C$19/12*(1+Simulation!$F$18)^INT((B331-1)/12)*(B331&lt;=Simulation!$F$24*12)</f>
        <v>0</v>
      </c>
      <c r="M331" s="114">
        <f>(Simulation!$C$20/12*(1+Simulation!$F$19)^INT((B331-1)/12)+F331)*(B331&lt;=Simulation!$F$24*12)</f>
        <v>0</v>
      </c>
      <c r="N331" s="114">
        <f ca="1">SUMIF('Détail fiscalité'!$B$8:$B$37,INT(B331/12),'Détail fiscalité'!$CI$8:$CI$37)/12+SUMIF('Détail fiscalité'!$B$8:$B$37,B331/12,'Détail fiscalité'!$CI$8:$CI$37)-SUMIF('Détail fiscalité'!$B$8:$B$37,B331/12-1,'Détail fiscalité'!$CI$8:$CI$37)</f>
        <v>0</v>
      </c>
      <c r="O331" s="116">
        <f t="shared" ca="1" si="26"/>
        <v>0</v>
      </c>
    </row>
    <row r="332" spans="2:15" x14ac:dyDescent="0.15">
      <c r="B332" s="40">
        <f t="shared" si="25"/>
        <v>325</v>
      </c>
      <c r="C332" s="113">
        <f>IF(B332&lt;=MIN(Simulation!$F$10*12+Simulation!$F$12*OR(Simulation!$F$11="Amortissable différé partiel",Simulation!$F$11="Amortissable différé total"),Simulation!$F$24*12),IF(AND(B332&lt;=Simulation!$F$12,OR(Simulation!$F$11="Amortissable différé partiel",Simulation!$F$11="Amortissable différé total")),C331*(1+(Simulation!$F$11="Amortissable différé total")*Simulation!$F$8/12),C331-D332),0)</f>
        <v>0</v>
      </c>
      <c r="D332" s="114">
        <f>IF(B332&lt;=MIN(Simulation!$F$10*12+Simulation!$F$12*OR(Simulation!$F$11="Amortissable différé partiel",Simulation!$F$11="Amortissable différé total"),Simulation!$F$24*12),G332-E332,0)</f>
        <v>0</v>
      </c>
      <c r="E332" s="114">
        <f>IF(B332&lt;=MIN(Simulation!$F$10*12+Simulation!$F$12*OR(Simulation!$F$11="Amortissable différé partiel",Simulation!$F$11="Amortissable différé total"),Simulation!$F$24*12),IF(AND(B332&lt;=Simulation!$F$12,Simulation!$F$11="Amortissable différé total"),0,C331*Simulation!$F$8/12),0)</f>
        <v>0</v>
      </c>
      <c r="F332" s="114">
        <f>IF(B332&lt;=MIN(Simulation!$F$10*12+Simulation!$F$12*OR(Simulation!$F$11="Amortissable différé partiel",Simulation!$F$11="Amortissable différé total"),Simulation!$F$24*12),Simulation!$E$33*Simulation!$F$9/12,0)</f>
        <v>0</v>
      </c>
      <c r="G332" s="115">
        <f>IF(B332&lt;=MIN(Simulation!$F$10*12+Simulation!$F$12*OR(Simulation!$F$11="Amortissable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partiel",IF(B332&lt;=Simulation!$F$12,Simulation!$E$33*Simulation!$F$8/12,PMT(Simulation!$F$8/12,Simulation!$F$10*12,-Simulation!$E$34)),IF(Simulation!$F$11="Amortissable différé total",IF(B332&lt;=Simulation!$F$12,0,PMT(Simulation!$F$8/12,Simulation!$F$10*12,-Simulation!$E$34)),IF(Simulation!$F$11="In fine",IF(B332=Simulation!$F$10*12,Simulation!$E$34,Simulation!$F$8*Simulation!$E$34/12),0)))),0)</f>
        <v>0</v>
      </c>
      <c r="H332" s="113">
        <f>Simulation!$C$16/12*(1+Simulation!$F$15)^INT((B332-1)/12)*(B332&lt;=Simulation!$F$24*12)</f>
        <v>0</v>
      </c>
      <c r="I332" s="114">
        <f>(Simulation!$F$22-VLOOKUP(Simulation!$C$27,'Comparatif fiscal'!$B$8:$E$17,4,FALSE)-C332)*(B332=Simulation!$F$24*12)</f>
        <v>0</v>
      </c>
      <c r="J332" s="114">
        <f>(Simulation!$C$21+Simulation!$C$22)/12*(1+Simulation!$F$17)^INT((B332-1)/12)*(B332&lt;=Simulation!$F$24*12)</f>
        <v>0</v>
      </c>
      <c r="K332" s="114">
        <f>(H332*Simulation!$C$24+Simulation!$C$23/12*(1+Simulation!$F$15)^INT((B332-1)/12))*(B332&lt;=Simulation!$F$24*12)</f>
        <v>0</v>
      </c>
      <c r="L332" s="114">
        <f>Simulation!$C$19/12*(1+Simulation!$F$18)^INT((B332-1)/12)*(B332&lt;=Simulation!$F$24*12)</f>
        <v>0</v>
      </c>
      <c r="M332" s="114">
        <f>(Simulation!$C$20/12*(1+Simulation!$F$19)^INT((B332-1)/12)+F332)*(B332&lt;=Simulation!$F$24*12)</f>
        <v>0</v>
      </c>
      <c r="N332" s="114">
        <f ca="1">SUMIF('Détail fiscalité'!$B$8:$B$37,INT(B332/12),'Détail fiscalité'!$CI$8:$CI$37)/12+SUMIF('Détail fiscalité'!$B$8:$B$37,B332/12,'Détail fiscalité'!$CI$8:$CI$37)-SUMIF('Détail fiscalité'!$B$8:$B$37,B332/12-1,'Détail fiscalité'!$CI$8:$CI$37)</f>
        <v>0</v>
      </c>
      <c r="O332" s="116">
        <f t="shared" ca="1" si="26"/>
        <v>0</v>
      </c>
    </row>
    <row r="333" spans="2:15" x14ac:dyDescent="0.15">
      <c r="B333" s="40">
        <f t="shared" si="25"/>
        <v>326</v>
      </c>
      <c r="C333" s="113">
        <f>IF(B333&lt;=MIN(Simulation!$F$10*12+Simulation!$F$12*OR(Simulation!$F$11="Amortissable différé partiel",Simulation!$F$11="Amortissable différé total"),Simulation!$F$24*12),IF(AND(B333&lt;=Simulation!$F$12,OR(Simulation!$F$11="Amortissable différé partiel",Simulation!$F$11="Amortissable différé total")),C332*(1+(Simulation!$F$11="Amortissable différé total")*Simulation!$F$8/12),C332-D333),0)</f>
        <v>0</v>
      </c>
      <c r="D333" s="114">
        <f>IF(B333&lt;=MIN(Simulation!$F$10*12+Simulation!$F$12*OR(Simulation!$F$11="Amortissable différé partiel",Simulation!$F$11="Amortissable différé total"),Simulation!$F$24*12),G333-E333,0)</f>
        <v>0</v>
      </c>
      <c r="E333" s="114">
        <f>IF(B333&lt;=MIN(Simulation!$F$10*12+Simulation!$F$12*OR(Simulation!$F$11="Amortissable différé partiel",Simulation!$F$11="Amortissable différé total"),Simulation!$F$24*12),IF(AND(B333&lt;=Simulation!$F$12,Simulation!$F$11="Amortissable différé total"),0,C332*Simulation!$F$8/12),0)</f>
        <v>0</v>
      </c>
      <c r="F333" s="114">
        <f>IF(B333&lt;=MIN(Simulation!$F$10*12+Simulation!$F$12*OR(Simulation!$F$11="Amortissable différé partiel",Simulation!$F$11="Amortissable différé total"),Simulation!$F$24*12),Simulation!$E$33*Simulation!$F$9/12,0)</f>
        <v>0</v>
      </c>
      <c r="G333" s="115">
        <f>IF(B333&lt;=MIN(Simulation!$F$10*12+Simulation!$F$12*OR(Simulation!$F$11="Amortissable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partiel",IF(B333&lt;=Simulation!$F$12,Simulation!$E$33*Simulation!$F$8/12,PMT(Simulation!$F$8/12,Simulation!$F$10*12,-Simulation!$E$34)),IF(Simulation!$F$11="Amortissable différé total",IF(B333&lt;=Simulation!$F$12,0,PMT(Simulation!$F$8/12,Simulation!$F$10*12,-Simulation!$E$34)),IF(Simulation!$F$11="In fine",IF(B333=Simulation!$F$10*12,Simulation!$E$34,Simulation!$F$8*Simulation!$E$34/12),0)))),0)</f>
        <v>0</v>
      </c>
      <c r="H333" s="113">
        <f>Simulation!$C$16/12*(1+Simulation!$F$15)^INT((B333-1)/12)*(B333&lt;=Simulation!$F$24*12)</f>
        <v>0</v>
      </c>
      <c r="I333" s="114">
        <f>(Simulation!$F$22-VLOOKUP(Simulation!$C$27,'Comparatif fiscal'!$B$8:$E$17,4,FALSE)-C333)*(B333=Simulation!$F$24*12)</f>
        <v>0</v>
      </c>
      <c r="J333" s="114">
        <f>(Simulation!$C$21+Simulation!$C$22)/12*(1+Simulation!$F$17)^INT((B333-1)/12)*(B333&lt;=Simulation!$F$24*12)</f>
        <v>0</v>
      </c>
      <c r="K333" s="114">
        <f>(H333*Simulation!$C$24+Simulation!$C$23/12*(1+Simulation!$F$15)^INT((B333-1)/12))*(B333&lt;=Simulation!$F$24*12)</f>
        <v>0</v>
      </c>
      <c r="L333" s="114">
        <f>Simulation!$C$19/12*(1+Simulation!$F$18)^INT((B333-1)/12)*(B333&lt;=Simulation!$F$24*12)</f>
        <v>0</v>
      </c>
      <c r="M333" s="114">
        <f>(Simulation!$C$20/12*(1+Simulation!$F$19)^INT((B333-1)/12)+F333)*(B333&lt;=Simulation!$F$24*12)</f>
        <v>0</v>
      </c>
      <c r="N333" s="114">
        <f ca="1">SUMIF('Détail fiscalité'!$B$8:$B$37,INT(B333/12),'Détail fiscalité'!$CI$8:$CI$37)/12+SUMIF('Détail fiscalité'!$B$8:$B$37,B333/12,'Détail fiscalité'!$CI$8:$CI$37)-SUMIF('Détail fiscalité'!$B$8:$B$37,B333/12-1,'Détail fiscalité'!$CI$8:$CI$37)</f>
        <v>0</v>
      </c>
      <c r="O333" s="116">
        <f t="shared" ca="1" si="26"/>
        <v>0</v>
      </c>
    </row>
    <row r="334" spans="2:15" x14ac:dyDescent="0.15">
      <c r="B334" s="40">
        <f t="shared" si="25"/>
        <v>327</v>
      </c>
      <c r="C334" s="113">
        <f>IF(B334&lt;=MIN(Simulation!$F$10*12+Simulation!$F$12*OR(Simulation!$F$11="Amortissable différé partiel",Simulation!$F$11="Amortissable différé total"),Simulation!$F$24*12),IF(AND(B334&lt;=Simulation!$F$12,OR(Simulation!$F$11="Amortissable différé partiel",Simulation!$F$11="Amortissable différé total")),C333*(1+(Simulation!$F$11="Amortissable différé total")*Simulation!$F$8/12),C333-D334),0)</f>
        <v>0</v>
      </c>
      <c r="D334" s="114">
        <f>IF(B334&lt;=MIN(Simulation!$F$10*12+Simulation!$F$12*OR(Simulation!$F$11="Amortissable différé partiel",Simulation!$F$11="Amortissable différé total"),Simulation!$F$24*12),G334-E334,0)</f>
        <v>0</v>
      </c>
      <c r="E334" s="114">
        <f>IF(B334&lt;=MIN(Simulation!$F$10*12+Simulation!$F$12*OR(Simulation!$F$11="Amortissable différé partiel",Simulation!$F$11="Amortissable différé total"),Simulation!$F$24*12),IF(AND(B334&lt;=Simulation!$F$12,Simulation!$F$11="Amortissable différé total"),0,C333*Simulation!$F$8/12),0)</f>
        <v>0</v>
      </c>
      <c r="F334" s="114">
        <f>IF(B334&lt;=MIN(Simulation!$F$10*12+Simulation!$F$12*OR(Simulation!$F$11="Amortissable différé partiel",Simulation!$F$11="Amortissable différé total"),Simulation!$F$24*12),Simulation!$E$33*Simulation!$F$9/12,0)</f>
        <v>0</v>
      </c>
      <c r="G334" s="115">
        <f>IF(B334&lt;=MIN(Simulation!$F$10*12+Simulation!$F$12*OR(Simulation!$F$11="Amortissable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partiel",IF(B334&lt;=Simulation!$F$12,Simulation!$E$33*Simulation!$F$8/12,PMT(Simulation!$F$8/12,Simulation!$F$10*12,-Simulation!$E$34)),IF(Simulation!$F$11="Amortissable différé total",IF(B334&lt;=Simulation!$F$12,0,PMT(Simulation!$F$8/12,Simulation!$F$10*12,-Simulation!$E$34)),IF(Simulation!$F$11="In fine",IF(B334=Simulation!$F$10*12,Simulation!$E$34,Simulation!$F$8*Simulation!$E$34/12),0)))),0)</f>
        <v>0</v>
      </c>
      <c r="H334" s="113">
        <f>Simulation!$C$16/12*(1+Simulation!$F$15)^INT((B334-1)/12)*(B334&lt;=Simulation!$F$24*12)</f>
        <v>0</v>
      </c>
      <c r="I334" s="114">
        <f>(Simulation!$F$22-VLOOKUP(Simulation!$C$27,'Comparatif fiscal'!$B$8:$E$17,4,FALSE)-C334)*(B334=Simulation!$F$24*12)</f>
        <v>0</v>
      </c>
      <c r="J334" s="114">
        <f>(Simulation!$C$21+Simulation!$C$22)/12*(1+Simulation!$F$17)^INT((B334-1)/12)*(B334&lt;=Simulation!$F$24*12)</f>
        <v>0</v>
      </c>
      <c r="K334" s="114">
        <f>(H334*Simulation!$C$24+Simulation!$C$23/12*(1+Simulation!$F$15)^INT((B334-1)/12))*(B334&lt;=Simulation!$F$24*12)</f>
        <v>0</v>
      </c>
      <c r="L334" s="114">
        <f>Simulation!$C$19/12*(1+Simulation!$F$18)^INT((B334-1)/12)*(B334&lt;=Simulation!$F$24*12)</f>
        <v>0</v>
      </c>
      <c r="M334" s="114">
        <f>(Simulation!$C$20/12*(1+Simulation!$F$19)^INT((B334-1)/12)+F334)*(B334&lt;=Simulation!$F$24*12)</f>
        <v>0</v>
      </c>
      <c r="N334" s="114">
        <f ca="1">SUMIF('Détail fiscalité'!$B$8:$B$37,INT(B334/12),'Détail fiscalité'!$CI$8:$CI$37)/12+SUMIF('Détail fiscalité'!$B$8:$B$37,B334/12,'Détail fiscalité'!$CI$8:$CI$37)-SUMIF('Détail fiscalité'!$B$8:$B$37,B334/12-1,'Détail fiscalité'!$CI$8:$CI$37)</f>
        <v>0</v>
      </c>
      <c r="O334" s="116">
        <f t="shared" ca="1" si="26"/>
        <v>0</v>
      </c>
    </row>
    <row r="335" spans="2:15" x14ac:dyDescent="0.15">
      <c r="B335" s="40">
        <f t="shared" si="25"/>
        <v>328</v>
      </c>
      <c r="C335" s="113">
        <f>IF(B335&lt;=MIN(Simulation!$F$10*12+Simulation!$F$12*OR(Simulation!$F$11="Amortissable différé partiel",Simulation!$F$11="Amortissable différé total"),Simulation!$F$24*12),IF(AND(B335&lt;=Simulation!$F$12,OR(Simulation!$F$11="Amortissable différé partiel",Simulation!$F$11="Amortissable différé total")),C334*(1+(Simulation!$F$11="Amortissable différé total")*Simulation!$F$8/12),C334-D335),0)</f>
        <v>0</v>
      </c>
      <c r="D335" s="114">
        <f>IF(B335&lt;=MIN(Simulation!$F$10*12+Simulation!$F$12*OR(Simulation!$F$11="Amortissable différé partiel",Simulation!$F$11="Amortissable différé total"),Simulation!$F$24*12),G335-E335,0)</f>
        <v>0</v>
      </c>
      <c r="E335" s="114">
        <f>IF(B335&lt;=MIN(Simulation!$F$10*12+Simulation!$F$12*OR(Simulation!$F$11="Amortissable différé partiel",Simulation!$F$11="Amortissable différé total"),Simulation!$F$24*12),IF(AND(B335&lt;=Simulation!$F$12,Simulation!$F$11="Amortissable différé total"),0,C334*Simulation!$F$8/12),0)</f>
        <v>0</v>
      </c>
      <c r="F335" s="114">
        <f>IF(B335&lt;=MIN(Simulation!$F$10*12+Simulation!$F$12*OR(Simulation!$F$11="Amortissable différé partiel",Simulation!$F$11="Amortissable différé total"),Simulation!$F$24*12),Simulation!$E$33*Simulation!$F$9/12,0)</f>
        <v>0</v>
      </c>
      <c r="G335" s="115">
        <f>IF(B335&lt;=MIN(Simulation!$F$10*12+Simulation!$F$12*OR(Simulation!$F$11="Amortissable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partiel",IF(B335&lt;=Simulation!$F$12,Simulation!$E$33*Simulation!$F$8/12,PMT(Simulation!$F$8/12,Simulation!$F$10*12,-Simulation!$E$34)),IF(Simulation!$F$11="Amortissable différé total",IF(B335&lt;=Simulation!$F$12,0,PMT(Simulation!$F$8/12,Simulation!$F$10*12,-Simulation!$E$34)),IF(Simulation!$F$11="In fine",IF(B335=Simulation!$F$10*12,Simulation!$E$34,Simulation!$F$8*Simulation!$E$34/12),0)))),0)</f>
        <v>0</v>
      </c>
      <c r="H335" s="113">
        <f>Simulation!$C$16/12*(1+Simulation!$F$15)^INT((B335-1)/12)*(B335&lt;=Simulation!$F$24*12)</f>
        <v>0</v>
      </c>
      <c r="I335" s="114">
        <f>(Simulation!$F$22-VLOOKUP(Simulation!$C$27,'Comparatif fiscal'!$B$8:$E$17,4,FALSE)-C335)*(B335=Simulation!$F$24*12)</f>
        <v>0</v>
      </c>
      <c r="J335" s="114">
        <f>(Simulation!$C$21+Simulation!$C$22)/12*(1+Simulation!$F$17)^INT((B335-1)/12)*(B335&lt;=Simulation!$F$24*12)</f>
        <v>0</v>
      </c>
      <c r="K335" s="114">
        <f>(H335*Simulation!$C$24+Simulation!$C$23/12*(1+Simulation!$F$15)^INT((B335-1)/12))*(B335&lt;=Simulation!$F$24*12)</f>
        <v>0</v>
      </c>
      <c r="L335" s="114">
        <f>Simulation!$C$19/12*(1+Simulation!$F$18)^INT((B335-1)/12)*(B335&lt;=Simulation!$F$24*12)</f>
        <v>0</v>
      </c>
      <c r="M335" s="114">
        <f>(Simulation!$C$20/12*(1+Simulation!$F$19)^INT((B335-1)/12)+F335)*(B335&lt;=Simulation!$F$24*12)</f>
        <v>0</v>
      </c>
      <c r="N335" s="114">
        <f ca="1">SUMIF('Détail fiscalité'!$B$8:$B$37,INT(B335/12),'Détail fiscalité'!$CI$8:$CI$37)/12+SUMIF('Détail fiscalité'!$B$8:$B$37,B335/12,'Détail fiscalité'!$CI$8:$CI$37)-SUMIF('Détail fiscalité'!$B$8:$B$37,B335/12-1,'Détail fiscalité'!$CI$8:$CI$37)</f>
        <v>0</v>
      </c>
      <c r="O335" s="116">
        <f t="shared" ca="1" si="26"/>
        <v>0</v>
      </c>
    </row>
    <row r="336" spans="2:15" x14ac:dyDescent="0.15">
      <c r="B336" s="40">
        <f t="shared" si="25"/>
        <v>329</v>
      </c>
      <c r="C336" s="113">
        <f>IF(B336&lt;=MIN(Simulation!$F$10*12+Simulation!$F$12*OR(Simulation!$F$11="Amortissable différé partiel",Simulation!$F$11="Amortissable différé total"),Simulation!$F$24*12),IF(AND(B336&lt;=Simulation!$F$12,OR(Simulation!$F$11="Amortissable différé partiel",Simulation!$F$11="Amortissable différé total")),C335*(1+(Simulation!$F$11="Amortissable différé total")*Simulation!$F$8/12),C335-D336),0)</f>
        <v>0</v>
      </c>
      <c r="D336" s="114">
        <f>IF(B336&lt;=MIN(Simulation!$F$10*12+Simulation!$F$12*OR(Simulation!$F$11="Amortissable différé partiel",Simulation!$F$11="Amortissable différé total"),Simulation!$F$24*12),G336-E336,0)</f>
        <v>0</v>
      </c>
      <c r="E336" s="114">
        <f>IF(B336&lt;=MIN(Simulation!$F$10*12+Simulation!$F$12*OR(Simulation!$F$11="Amortissable différé partiel",Simulation!$F$11="Amortissable différé total"),Simulation!$F$24*12),IF(AND(B336&lt;=Simulation!$F$12,Simulation!$F$11="Amortissable différé total"),0,C335*Simulation!$F$8/12),0)</f>
        <v>0</v>
      </c>
      <c r="F336" s="114">
        <f>IF(B336&lt;=MIN(Simulation!$F$10*12+Simulation!$F$12*OR(Simulation!$F$11="Amortissable différé partiel",Simulation!$F$11="Amortissable différé total"),Simulation!$F$24*12),Simulation!$E$33*Simulation!$F$9/12,0)</f>
        <v>0</v>
      </c>
      <c r="G336" s="115">
        <f>IF(B336&lt;=MIN(Simulation!$F$10*12+Simulation!$F$12*OR(Simulation!$F$11="Amortissable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partiel",IF(B336&lt;=Simulation!$F$12,Simulation!$E$33*Simulation!$F$8/12,PMT(Simulation!$F$8/12,Simulation!$F$10*12,-Simulation!$E$34)),IF(Simulation!$F$11="Amortissable différé total",IF(B336&lt;=Simulation!$F$12,0,PMT(Simulation!$F$8/12,Simulation!$F$10*12,-Simulation!$E$34)),IF(Simulation!$F$11="In fine",IF(B336=Simulation!$F$10*12,Simulation!$E$34,Simulation!$F$8*Simulation!$E$34/12),0)))),0)</f>
        <v>0</v>
      </c>
      <c r="H336" s="113">
        <f>Simulation!$C$16/12*(1+Simulation!$F$15)^INT((B336-1)/12)*(B336&lt;=Simulation!$F$24*12)</f>
        <v>0</v>
      </c>
      <c r="I336" s="114">
        <f>(Simulation!$F$22-VLOOKUP(Simulation!$C$27,'Comparatif fiscal'!$B$8:$E$17,4,FALSE)-C336)*(B336=Simulation!$F$24*12)</f>
        <v>0</v>
      </c>
      <c r="J336" s="114">
        <f>(Simulation!$C$21+Simulation!$C$22)/12*(1+Simulation!$F$17)^INT((B336-1)/12)*(B336&lt;=Simulation!$F$24*12)</f>
        <v>0</v>
      </c>
      <c r="K336" s="114">
        <f>(H336*Simulation!$C$24+Simulation!$C$23/12*(1+Simulation!$F$15)^INT((B336-1)/12))*(B336&lt;=Simulation!$F$24*12)</f>
        <v>0</v>
      </c>
      <c r="L336" s="114">
        <f>Simulation!$C$19/12*(1+Simulation!$F$18)^INT((B336-1)/12)*(B336&lt;=Simulation!$F$24*12)</f>
        <v>0</v>
      </c>
      <c r="M336" s="114">
        <f>(Simulation!$C$20/12*(1+Simulation!$F$19)^INT((B336-1)/12)+F336)*(B336&lt;=Simulation!$F$24*12)</f>
        <v>0</v>
      </c>
      <c r="N336" s="114">
        <f ca="1">SUMIF('Détail fiscalité'!$B$8:$B$37,INT(B336/12),'Détail fiscalité'!$CI$8:$CI$37)/12+SUMIF('Détail fiscalité'!$B$8:$B$37,B336/12,'Détail fiscalité'!$CI$8:$CI$37)-SUMIF('Détail fiscalité'!$B$8:$B$37,B336/12-1,'Détail fiscalité'!$CI$8:$CI$37)</f>
        <v>0</v>
      </c>
      <c r="O336" s="116">
        <f t="shared" ca="1" si="26"/>
        <v>0</v>
      </c>
    </row>
    <row r="337" spans="2:15" x14ac:dyDescent="0.15">
      <c r="B337" s="40">
        <f t="shared" si="25"/>
        <v>330</v>
      </c>
      <c r="C337" s="113">
        <f>IF(B337&lt;=MIN(Simulation!$F$10*12+Simulation!$F$12*OR(Simulation!$F$11="Amortissable différé partiel",Simulation!$F$11="Amortissable différé total"),Simulation!$F$24*12),IF(AND(B337&lt;=Simulation!$F$12,OR(Simulation!$F$11="Amortissable différé partiel",Simulation!$F$11="Amortissable différé total")),C336*(1+(Simulation!$F$11="Amortissable différé total")*Simulation!$F$8/12),C336-D337),0)</f>
        <v>0</v>
      </c>
      <c r="D337" s="114">
        <f>IF(B337&lt;=MIN(Simulation!$F$10*12+Simulation!$F$12*OR(Simulation!$F$11="Amortissable différé partiel",Simulation!$F$11="Amortissable différé total"),Simulation!$F$24*12),G337-E337,0)</f>
        <v>0</v>
      </c>
      <c r="E337" s="114">
        <f>IF(B337&lt;=MIN(Simulation!$F$10*12+Simulation!$F$12*OR(Simulation!$F$11="Amortissable différé partiel",Simulation!$F$11="Amortissable différé total"),Simulation!$F$24*12),IF(AND(B337&lt;=Simulation!$F$12,Simulation!$F$11="Amortissable différé total"),0,C336*Simulation!$F$8/12),0)</f>
        <v>0</v>
      </c>
      <c r="F337" s="114">
        <f>IF(B337&lt;=MIN(Simulation!$F$10*12+Simulation!$F$12*OR(Simulation!$F$11="Amortissable différé partiel",Simulation!$F$11="Amortissable différé total"),Simulation!$F$24*12),Simulation!$E$33*Simulation!$F$9/12,0)</f>
        <v>0</v>
      </c>
      <c r="G337" s="115">
        <f>IF(B337&lt;=MIN(Simulation!$F$10*12+Simulation!$F$12*OR(Simulation!$F$11="Amortissable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partiel",IF(B337&lt;=Simulation!$F$12,Simulation!$E$33*Simulation!$F$8/12,PMT(Simulation!$F$8/12,Simulation!$F$10*12,-Simulation!$E$34)),IF(Simulation!$F$11="Amortissable différé total",IF(B337&lt;=Simulation!$F$12,0,PMT(Simulation!$F$8/12,Simulation!$F$10*12,-Simulation!$E$34)),IF(Simulation!$F$11="In fine",IF(B337=Simulation!$F$10*12,Simulation!$E$34,Simulation!$F$8*Simulation!$E$34/12),0)))),0)</f>
        <v>0</v>
      </c>
      <c r="H337" s="113">
        <f>Simulation!$C$16/12*(1+Simulation!$F$15)^INT((B337-1)/12)*(B337&lt;=Simulation!$F$24*12)</f>
        <v>0</v>
      </c>
      <c r="I337" s="114">
        <f>(Simulation!$F$22-VLOOKUP(Simulation!$C$27,'Comparatif fiscal'!$B$8:$E$17,4,FALSE)-C337)*(B337=Simulation!$F$24*12)</f>
        <v>0</v>
      </c>
      <c r="J337" s="114">
        <f>(Simulation!$C$21+Simulation!$C$22)/12*(1+Simulation!$F$17)^INT((B337-1)/12)*(B337&lt;=Simulation!$F$24*12)</f>
        <v>0</v>
      </c>
      <c r="K337" s="114">
        <f>(H337*Simulation!$C$24+Simulation!$C$23/12*(1+Simulation!$F$15)^INT((B337-1)/12))*(B337&lt;=Simulation!$F$24*12)</f>
        <v>0</v>
      </c>
      <c r="L337" s="114">
        <f>Simulation!$C$19/12*(1+Simulation!$F$18)^INT((B337-1)/12)*(B337&lt;=Simulation!$F$24*12)</f>
        <v>0</v>
      </c>
      <c r="M337" s="114">
        <f>(Simulation!$C$20/12*(1+Simulation!$F$19)^INT((B337-1)/12)+F337)*(B337&lt;=Simulation!$F$24*12)</f>
        <v>0</v>
      </c>
      <c r="N337" s="114">
        <f ca="1">SUMIF('Détail fiscalité'!$B$8:$B$37,INT(B337/12),'Détail fiscalité'!$CI$8:$CI$37)/12+SUMIF('Détail fiscalité'!$B$8:$B$37,B337/12,'Détail fiscalité'!$CI$8:$CI$37)-SUMIF('Détail fiscalité'!$B$8:$B$37,B337/12-1,'Détail fiscalité'!$CI$8:$CI$37)</f>
        <v>0</v>
      </c>
      <c r="O337" s="116">
        <f t="shared" ca="1" si="26"/>
        <v>0</v>
      </c>
    </row>
    <row r="338" spans="2:15" x14ac:dyDescent="0.15">
      <c r="B338" s="40">
        <f t="shared" si="25"/>
        <v>331</v>
      </c>
      <c r="C338" s="113">
        <f>IF(B338&lt;=MIN(Simulation!$F$10*12+Simulation!$F$12*OR(Simulation!$F$11="Amortissable différé partiel",Simulation!$F$11="Amortissable différé total"),Simulation!$F$24*12),IF(AND(B338&lt;=Simulation!$F$12,OR(Simulation!$F$11="Amortissable différé partiel",Simulation!$F$11="Amortissable différé total")),C337*(1+(Simulation!$F$11="Amortissable différé total")*Simulation!$F$8/12),C337-D338),0)</f>
        <v>0</v>
      </c>
      <c r="D338" s="114">
        <f>IF(B338&lt;=MIN(Simulation!$F$10*12+Simulation!$F$12*OR(Simulation!$F$11="Amortissable différé partiel",Simulation!$F$11="Amortissable différé total"),Simulation!$F$24*12),G338-E338,0)</f>
        <v>0</v>
      </c>
      <c r="E338" s="114">
        <f>IF(B338&lt;=MIN(Simulation!$F$10*12+Simulation!$F$12*OR(Simulation!$F$11="Amortissable différé partiel",Simulation!$F$11="Amortissable différé total"),Simulation!$F$24*12),IF(AND(B338&lt;=Simulation!$F$12,Simulation!$F$11="Amortissable différé total"),0,C337*Simulation!$F$8/12),0)</f>
        <v>0</v>
      </c>
      <c r="F338" s="114">
        <f>IF(B338&lt;=MIN(Simulation!$F$10*12+Simulation!$F$12*OR(Simulation!$F$11="Amortissable différé partiel",Simulation!$F$11="Amortissable différé total"),Simulation!$F$24*12),Simulation!$E$33*Simulation!$F$9/12,0)</f>
        <v>0</v>
      </c>
      <c r="G338" s="115">
        <f>IF(B338&lt;=MIN(Simulation!$F$10*12+Simulation!$F$12*OR(Simulation!$F$11="Amortissable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partiel",IF(B338&lt;=Simulation!$F$12,Simulation!$E$33*Simulation!$F$8/12,PMT(Simulation!$F$8/12,Simulation!$F$10*12,-Simulation!$E$34)),IF(Simulation!$F$11="Amortissable différé total",IF(B338&lt;=Simulation!$F$12,0,PMT(Simulation!$F$8/12,Simulation!$F$10*12,-Simulation!$E$34)),IF(Simulation!$F$11="In fine",IF(B338=Simulation!$F$10*12,Simulation!$E$34,Simulation!$F$8*Simulation!$E$34/12),0)))),0)</f>
        <v>0</v>
      </c>
      <c r="H338" s="113">
        <f>Simulation!$C$16/12*(1+Simulation!$F$15)^INT((B338-1)/12)*(B338&lt;=Simulation!$F$24*12)</f>
        <v>0</v>
      </c>
      <c r="I338" s="114">
        <f>(Simulation!$F$22-VLOOKUP(Simulation!$C$27,'Comparatif fiscal'!$B$8:$E$17,4,FALSE)-C338)*(B338=Simulation!$F$24*12)</f>
        <v>0</v>
      </c>
      <c r="J338" s="114">
        <f>(Simulation!$C$21+Simulation!$C$22)/12*(1+Simulation!$F$17)^INT((B338-1)/12)*(B338&lt;=Simulation!$F$24*12)</f>
        <v>0</v>
      </c>
      <c r="K338" s="114">
        <f>(H338*Simulation!$C$24+Simulation!$C$23/12*(1+Simulation!$F$15)^INT((B338-1)/12))*(B338&lt;=Simulation!$F$24*12)</f>
        <v>0</v>
      </c>
      <c r="L338" s="114">
        <f>Simulation!$C$19/12*(1+Simulation!$F$18)^INT((B338-1)/12)*(B338&lt;=Simulation!$F$24*12)</f>
        <v>0</v>
      </c>
      <c r="M338" s="114">
        <f>(Simulation!$C$20/12*(1+Simulation!$F$19)^INT((B338-1)/12)+F338)*(B338&lt;=Simulation!$F$24*12)</f>
        <v>0</v>
      </c>
      <c r="N338" s="114">
        <f ca="1">SUMIF('Détail fiscalité'!$B$8:$B$37,INT(B338/12),'Détail fiscalité'!$CI$8:$CI$37)/12+SUMIF('Détail fiscalité'!$B$8:$B$37,B338/12,'Détail fiscalité'!$CI$8:$CI$37)-SUMIF('Détail fiscalité'!$B$8:$B$37,B338/12-1,'Détail fiscalité'!$CI$8:$CI$37)</f>
        <v>0</v>
      </c>
      <c r="O338" s="116">
        <f t="shared" ca="1" si="26"/>
        <v>0</v>
      </c>
    </row>
    <row r="339" spans="2:15" x14ac:dyDescent="0.15">
      <c r="B339" s="40">
        <f t="shared" si="25"/>
        <v>332</v>
      </c>
      <c r="C339" s="113">
        <f>IF(B339&lt;=MIN(Simulation!$F$10*12+Simulation!$F$12*OR(Simulation!$F$11="Amortissable différé partiel",Simulation!$F$11="Amortissable différé total"),Simulation!$F$24*12),IF(AND(B339&lt;=Simulation!$F$12,OR(Simulation!$F$11="Amortissable différé partiel",Simulation!$F$11="Amortissable différé total")),C338*(1+(Simulation!$F$11="Amortissable différé total")*Simulation!$F$8/12),C338-D339),0)</f>
        <v>0</v>
      </c>
      <c r="D339" s="114">
        <f>IF(B339&lt;=MIN(Simulation!$F$10*12+Simulation!$F$12*OR(Simulation!$F$11="Amortissable différé partiel",Simulation!$F$11="Amortissable différé total"),Simulation!$F$24*12),G339-E339,0)</f>
        <v>0</v>
      </c>
      <c r="E339" s="114">
        <f>IF(B339&lt;=MIN(Simulation!$F$10*12+Simulation!$F$12*OR(Simulation!$F$11="Amortissable différé partiel",Simulation!$F$11="Amortissable différé total"),Simulation!$F$24*12),IF(AND(B339&lt;=Simulation!$F$12,Simulation!$F$11="Amortissable différé total"),0,C338*Simulation!$F$8/12),0)</f>
        <v>0</v>
      </c>
      <c r="F339" s="114">
        <f>IF(B339&lt;=MIN(Simulation!$F$10*12+Simulation!$F$12*OR(Simulation!$F$11="Amortissable différé partiel",Simulation!$F$11="Amortissable différé total"),Simulation!$F$24*12),Simulation!$E$33*Simulation!$F$9/12,0)</f>
        <v>0</v>
      </c>
      <c r="G339" s="115">
        <f>IF(B339&lt;=MIN(Simulation!$F$10*12+Simulation!$F$12*OR(Simulation!$F$11="Amortissable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partiel",IF(B339&lt;=Simulation!$F$12,Simulation!$E$33*Simulation!$F$8/12,PMT(Simulation!$F$8/12,Simulation!$F$10*12,-Simulation!$E$34)),IF(Simulation!$F$11="Amortissable différé total",IF(B339&lt;=Simulation!$F$12,0,PMT(Simulation!$F$8/12,Simulation!$F$10*12,-Simulation!$E$34)),IF(Simulation!$F$11="In fine",IF(B339=Simulation!$F$10*12,Simulation!$E$34,Simulation!$F$8*Simulation!$E$34/12),0)))),0)</f>
        <v>0</v>
      </c>
      <c r="H339" s="113">
        <f>Simulation!$C$16/12*(1+Simulation!$F$15)^INT((B339-1)/12)*(B339&lt;=Simulation!$F$24*12)</f>
        <v>0</v>
      </c>
      <c r="I339" s="114">
        <f>(Simulation!$F$22-VLOOKUP(Simulation!$C$27,'Comparatif fiscal'!$B$8:$E$17,4,FALSE)-C339)*(B339=Simulation!$F$24*12)</f>
        <v>0</v>
      </c>
      <c r="J339" s="114">
        <f>(Simulation!$C$21+Simulation!$C$22)/12*(1+Simulation!$F$17)^INT((B339-1)/12)*(B339&lt;=Simulation!$F$24*12)</f>
        <v>0</v>
      </c>
      <c r="K339" s="114">
        <f>(H339*Simulation!$C$24+Simulation!$C$23/12*(1+Simulation!$F$15)^INT((B339-1)/12))*(B339&lt;=Simulation!$F$24*12)</f>
        <v>0</v>
      </c>
      <c r="L339" s="114">
        <f>Simulation!$C$19/12*(1+Simulation!$F$18)^INT((B339-1)/12)*(B339&lt;=Simulation!$F$24*12)</f>
        <v>0</v>
      </c>
      <c r="M339" s="114">
        <f>(Simulation!$C$20/12*(1+Simulation!$F$19)^INT((B339-1)/12)+F339)*(B339&lt;=Simulation!$F$24*12)</f>
        <v>0</v>
      </c>
      <c r="N339" s="114">
        <f ca="1">SUMIF('Détail fiscalité'!$B$8:$B$37,INT(B339/12),'Détail fiscalité'!$CI$8:$CI$37)/12+SUMIF('Détail fiscalité'!$B$8:$B$37,B339/12,'Détail fiscalité'!$CI$8:$CI$37)-SUMIF('Détail fiscalité'!$B$8:$B$37,B339/12-1,'Détail fiscalité'!$CI$8:$CI$37)</f>
        <v>0</v>
      </c>
      <c r="O339" s="116">
        <f t="shared" ca="1" si="26"/>
        <v>0</v>
      </c>
    </row>
    <row r="340" spans="2:15" x14ac:dyDescent="0.15">
      <c r="B340" s="40">
        <f t="shared" si="25"/>
        <v>333</v>
      </c>
      <c r="C340" s="113">
        <f>IF(B340&lt;=MIN(Simulation!$F$10*12+Simulation!$F$12*OR(Simulation!$F$11="Amortissable différé partiel",Simulation!$F$11="Amortissable différé total"),Simulation!$F$24*12),IF(AND(B340&lt;=Simulation!$F$12,OR(Simulation!$F$11="Amortissable différé partiel",Simulation!$F$11="Amortissable différé total")),C339*(1+(Simulation!$F$11="Amortissable différé total")*Simulation!$F$8/12),C339-D340),0)</f>
        <v>0</v>
      </c>
      <c r="D340" s="114">
        <f>IF(B340&lt;=MIN(Simulation!$F$10*12+Simulation!$F$12*OR(Simulation!$F$11="Amortissable différé partiel",Simulation!$F$11="Amortissable différé total"),Simulation!$F$24*12),G340-E340,0)</f>
        <v>0</v>
      </c>
      <c r="E340" s="114">
        <f>IF(B340&lt;=MIN(Simulation!$F$10*12+Simulation!$F$12*OR(Simulation!$F$11="Amortissable différé partiel",Simulation!$F$11="Amortissable différé total"),Simulation!$F$24*12),IF(AND(B340&lt;=Simulation!$F$12,Simulation!$F$11="Amortissable différé total"),0,C339*Simulation!$F$8/12),0)</f>
        <v>0</v>
      </c>
      <c r="F340" s="114">
        <f>IF(B340&lt;=MIN(Simulation!$F$10*12+Simulation!$F$12*OR(Simulation!$F$11="Amortissable différé partiel",Simulation!$F$11="Amortissable différé total"),Simulation!$F$24*12),Simulation!$E$33*Simulation!$F$9/12,0)</f>
        <v>0</v>
      </c>
      <c r="G340" s="115">
        <f>IF(B340&lt;=MIN(Simulation!$F$10*12+Simulation!$F$12*OR(Simulation!$F$11="Amortissable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partiel",IF(B340&lt;=Simulation!$F$12,Simulation!$E$33*Simulation!$F$8/12,PMT(Simulation!$F$8/12,Simulation!$F$10*12,-Simulation!$E$34)),IF(Simulation!$F$11="Amortissable différé total",IF(B340&lt;=Simulation!$F$12,0,PMT(Simulation!$F$8/12,Simulation!$F$10*12,-Simulation!$E$34)),IF(Simulation!$F$11="In fine",IF(B340=Simulation!$F$10*12,Simulation!$E$34,Simulation!$F$8*Simulation!$E$34/12),0)))),0)</f>
        <v>0</v>
      </c>
      <c r="H340" s="113">
        <f>Simulation!$C$16/12*(1+Simulation!$F$15)^INT((B340-1)/12)*(B340&lt;=Simulation!$F$24*12)</f>
        <v>0</v>
      </c>
      <c r="I340" s="114">
        <f>(Simulation!$F$22-VLOOKUP(Simulation!$C$27,'Comparatif fiscal'!$B$8:$E$17,4,FALSE)-C340)*(B340=Simulation!$F$24*12)</f>
        <v>0</v>
      </c>
      <c r="J340" s="114">
        <f>(Simulation!$C$21+Simulation!$C$22)/12*(1+Simulation!$F$17)^INT((B340-1)/12)*(B340&lt;=Simulation!$F$24*12)</f>
        <v>0</v>
      </c>
      <c r="K340" s="114">
        <f>(H340*Simulation!$C$24+Simulation!$C$23/12*(1+Simulation!$F$15)^INT((B340-1)/12))*(B340&lt;=Simulation!$F$24*12)</f>
        <v>0</v>
      </c>
      <c r="L340" s="114">
        <f>Simulation!$C$19/12*(1+Simulation!$F$18)^INT((B340-1)/12)*(B340&lt;=Simulation!$F$24*12)</f>
        <v>0</v>
      </c>
      <c r="M340" s="114">
        <f>(Simulation!$C$20/12*(1+Simulation!$F$19)^INT((B340-1)/12)+F340)*(B340&lt;=Simulation!$F$24*12)</f>
        <v>0</v>
      </c>
      <c r="N340" s="114">
        <f ca="1">SUMIF('Détail fiscalité'!$B$8:$B$37,INT(B340/12),'Détail fiscalité'!$CI$8:$CI$37)/12+SUMIF('Détail fiscalité'!$B$8:$B$37,B340/12,'Détail fiscalité'!$CI$8:$CI$37)-SUMIF('Détail fiscalité'!$B$8:$B$37,B340/12-1,'Détail fiscalité'!$CI$8:$CI$37)</f>
        <v>0</v>
      </c>
      <c r="O340" s="116">
        <f t="shared" ca="1" si="26"/>
        <v>0</v>
      </c>
    </row>
    <row r="341" spans="2:15" x14ac:dyDescent="0.15">
      <c r="B341" s="40">
        <f t="shared" si="25"/>
        <v>334</v>
      </c>
      <c r="C341" s="113">
        <f>IF(B341&lt;=MIN(Simulation!$F$10*12+Simulation!$F$12*OR(Simulation!$F$11="Amortissable différé partiel",Simulation!$F$11="Amortissable différé total"),Simulation!$F$24*12),IF(AND(B341&lt;=Simulation!$F$12,OR(Simulation!$F$11="Amortissable différé partiel",Simulation!$F$11="Amortissable différé total")),C340*(1+(Simulation!$F$11="Amortissable différé total")*Simulation!$F$8/12),C340-D341),0)</f>
        <v>0</v>
      </c>
      <c r="D341" s="114">
        <f>IF(B341&lt;=MIN(Simulation!$F$10*12+Simulation!$F$12*OR(Simulation!$F$11="Amortissable différé partiel",Simulation!$F$11="Amortissable différé total"),Simulation!$F$24*12),G341-E341,0)</f>
        <v>0</v>
      </c>
      <c r="E341" s="114">
        <f>IF(B341&lt;=MIN(Simulation!$F$10*12+Simulation!$F$12*OR(Simulation!$F$11="Amortissable différé partiel",Simulation!$F$11="Amortissable différé total"),Simulation!$F$24*12),IF(AND(B341&lt;=Simulation!$F$12,Simulation!$F$11="Amortissable différé total"),0,C340*Simulation!$F$8/12),0)</f>
        <v>0</v>
      </c>
      <c r="F341" s="114">
        <f>IF(B341&lt;=MIN(Simulation!$F$10*12+Simulation!$F$12*OR(Simulation!$F$11="Amortissable différé partiel",Simulation!$F$11="Amortissable différé total"),Simulation!$F$24*12),Simulation!$E$33*Simulation!$F$9/12,0)</f>
        <v>0</v>
      </c>
      <c r="G341" s="115">
        <f>IF(B341&lt;=MIN(Simulation!$F$10*12+Simulation!$F$12*OR(Simulation!$F$11="Amortissable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partiel",IF(B341&lt;=Simulation!$F$12,Simulation!$E$33*Simulation!$F$8/12,PMT(Simulation!$F$8/12,Simulation!$F$10*12,-Simulation!$E$34)),IF(Simulation!$F$11="Amortissable différé total",IF(B341&lt;=Simulation!$F$12,0,PMT(Simulation!$F$8/12,Simulation!$F$10*12,-Simulation!$E$34)),IF(Simulation!$F$11="In fine",IF(B341=Simulation!$F$10*12,Simulation!$E$34,Simulation!$F$8*Simulation!$E$34/12),0)))),0)</f>
        <v>0</v>
      </c>
      <c r="H341" s="113">
        <f>Simulation!$C$16/12*(1+Simulation!$F$15)^INT((B341-1)/12)*(B341&lt;=Simulation!$F$24*12)</f>
        <v>0</v>
      </c>
      <c r="I341" s="114">
        <f>(Simulation!$F$22-VLOOKUP(Simulation!$C$27,'Comparatif fiscal'!$B$8:$E$17,4,FALSE)-C341)*(B341=Simulation!$F$24*12)</f>
        <v>0</v>
      </c>
      <c r="J341" s="114">
        <f>(Simulation!$C$21+Simulation!$C$22)/12*(1+Simulation!$F$17)^INT((B341-1)/12)*(B341&lt;=Simulation!$F$24*12)</f>
        <v>0</v>
      </c>
      <c r="K341" s="114">
        <f>(H341*Simulation!$C$24+Simulation!$C$23/12*(1+Simulation!$F$15)^INT((B341-1)/12))*(B341&lt;=Simulation!$F$24*12)</f>
        <v>0</v>
      </c>
      <c r="L341" s="114">
        <f>Simulation!$C$19/12*(1+Simulation!$F$18)^INT((B341-1)/12)*(B341&lt;=Simulation!$F$24*12)</f>
        <v>0</v>
      </c>
      <c r="M341" s="114">
        <f>(Simulation!$C$20/12*(1+Simulation!$F$19)^INT((B341-1)/12)+F341)*(B341&lt;=Simulation!$F$24*12)</f>
        <v>0</v>
      </c>
      <c r="N341" s="114">
        <f ca="1">SUMIF('Détail fiscalité'!$B$8:$B$37,INT(B341/12),'Détail fiscalité'!$CI$8:$CI$37)/12+SUMIF('Détail fiscalité'!$B$8:$B$37,B341/12,'Détail fiscalité'!$CI$8:$CI$37)-SUMIF('Détail fiscalité'!$B$8:$B$37,B341/12-1,'Détail fiscalité'!$CI$8:$CI$37)</f>
        <v>0</v>
      </c>
      <c r="O341" s="116">
        <f t="shared" ca="1" si="26"/>
        <v>0</v>
      </c>
    </row>
    <row r="342" spans="2:15" x14ac:dyDescent="0.15">
      <c r="B342" s="40">
        <f t="shared" si="25"/>
        <v>335</v>
      </c>
      <c r="C342" s="113">
        <f>IF(B342&lt;=MIN(Simulation!$F$10*12+Simulation!$F$12*OR(Simulation!$F$11="Amortissable différé partiel",Simulation!$F$11="Amortissable différé total"),Simulation!$F$24*12),IF(AND(B342&lt;=Simulation!$F$12,OR(Simulation!$F$11="Amortissable différé partiel",Simulation!$F$11="Amortissable différé total")),C341*(1+(Simulation!$F$11="Amortissable différé total")*Simulation!$F$8/12),C341-D342),0)</f>
        <v>0</v>
      </c>
      <c r="D342" s="114">
        <f>IF(B342&lt;=MIN(Simulation!$F$10*12+Simulation!$F$12*OR(Simulation!$F$11="Amortissable différé partiel",Simulation!$F$11="Amortissable différé total"),Simulation!$F$24*12),G342-E342,0)</f>
        <v>0</v>
      </c>
      <c r="E342" s="114">
        <f>IF(B342&lt;=MIN(Simulation!$F$10*12+Simulation!$F$12*OR(Simulation!$F$11="Amortissable différé partiel",Simulation!$F$11="Amortissable différé total"),Simulation!$F$24*12),IF(AND(B342&lt;=Simulation!$F$12,Simulation!$F$11="Amortissable différé total"),0,C341*Simulation!$F$8/12),0)</f>
        <v>0</v>
      </c>
      <c r="F342" s="114">
        <f>IF(B342&lt;=MIN(Simulation!$F$10*12+Simulation!$F$12*OR(Simulation!$F$11="Amortissable différé partiel",Simulation!$F$11="Amortissable différé total"),Simulation!$F$24*12),Simulation!$E$33*Simulation!$F$9/12,0)</f>
        <v>0</v>
      </c>
      <c r="G342" s="115">
        <f>IF(B342&lt;=MIN(Simulation!$F$10*12+Simulation!$F$12*OR(Simulation!$F$11="Amortissable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partiel",IF(B342&lt;=Simulation!$F$12,Simulation!$E$33*Simulation!$F$8/12,PMT(Simulation!$F$8/12,Simulation!$F$10*12,-Simulation!$E$34)),IF(Simulation!$F$11="Amortissable différé total",IF(B342&lt;=Simulation!$F$12,0,PMT(Simulation!$F$8/12,Simulation!$F$10*12,-Simulation!$E$34)),IF(Simulation!$F$11="In fine",IF(B342=Simulation!$F$10*12,Simulation!$E$34,Simulation!$F$8*Simulation!$E$34/12),0)))),0)</f>
        <v>0</v>
      </c>
      <c r="H342" s="113">
        <f>Simulation!$C$16/12*(1+Simulation!$F$15)^INT((B342-1)/12)*(B342&lt;=Simulation!$F$24*12)</f>
        <v>0</v>
      </c>
      <c r="I342" s="114">
        <f>(Simulation!$F$22-VLOOKUP(Simulation!$C$27,'Comparatif fiscal'!$B$8:$E$17,4,FALSE)-C342)*(B342=Simulation!$F$24*12)</f>
        <v>0</v>
      </c>
      <c r="J342" s="114">
        <f>(Simulation!$C$21+Simulation!$C$22)/12*(1+Simulation!$F$17)^INT((B342-1)/12)*(B342&lt;=Simulation!$F$24*12)</f>
        <v>0</v>
      </c>
      <c r="K342" s="114">
        <f>(H342*Simulation!$C$24+Simulation!$C$23/12*(1+Simulation!$F$15)^INT((B342-1)/12))*(B342&lt;=Simulation!$F$24*12)</f>
        <v>0</v>
      </c>
      <c r="L342" s="114">
        <f>Simulation!$C$19/12*(1+Simulation!$F$18)^INT((B342-1)/12)*(B342&lt;=Simulation!$F$24*12)</f>
        <v>0</v>
      </c>
      <c r="M342" s="114">
        <f>(Simulation!$C$20/12*(1+Simulation!$F$19)^INT((B342-1)/12)+F342)*(B342&lt;=Simulation!$F$24*12)</f>
        <v>0</v>
      </c>
      <c r="N342" s="114">
        <f ca="1">SUMIF('Détail fiscalité'!$B$8:$B$37,INT(B342/12),'Détail fiscalité'!$CI$8:$CI$37)/12+SUMIF('Détail fiscalité'!$B$8:$B$37,B342/12,'Détail fiscalité'!$CI$8:$CI$37)-SUMIF('Détail fiscalité'!$B$8:$B$37,B342/12-1,'Détail fiscalité'!$CI$8:$CI$37)</f>
        <v>0</v>
      </c>
      <c r="O342" s="116">
        <f t="shared" ca="1" si="26"/>
        <v>0</v>
      </c>
    </row>
    <row r="343" spans="2:15" x14ac:dyDescent="0.15">
      <c r="B343" s="40">
        <f t="shared" si="25"/>
        <v>336</v>
      </c>
      <c r="C343" s="113">
        <f>IF(B343&lt;=MIN(Simulation!$F$10*12+Simulation!$F$12*OR(Simulation!$F$11="Amortissable différé partiel",Simulation!$F$11="Amortissable différé total"),Simulation!$F$24*12),IF(AND(B343&lt;=Simulation!$F$12,OR(Simulation!$F$11="Amortissable différé partiel",Simulation!$F$11="Amortissable différé total")),C342*(1+(Simulation!$F$11="Amortissable différé total")*Simulation!$F$8/12),C342-D343),0)</f>
        <v>0</v>
      </c>
      <c r="D343" s="114">
        <f>IF(B343&lt;=MIN(Simulation!$F$10*12+Simulation!$F$12*OR(Simulation!$F$11="Amortissable différé partiel",Simulation!$F$11="Amortissable différé total"),Simulation!$F$24*12),G343-E343,0)</f>
        <v>0</v>
      </c>
      <c r="E343" s="114">
        <f>IF(B343&lt;=MIN(Simulation!$F$10*12+Simulation!$F$12*OR(Simulation!$F$11="Amortissable différé partiel",Simulation!$F$11="Amortissable différé total"),Simulation!$F$24*12),IF(AND(B343&lt;=Simulation!$F$12,Simulation!$F$11="Amortissable différé total"),0,C342*Simulation!$F$8/12),0)</f>
        <v>0</v>
      </c>
      <c r="F343" s="114">
        <f>IF(B343&lt;=MIN(Simulation!$F$10*12+Simulation!$F$12*OR(Simulation!$F$11="Amortissable différé partiel",Simulation!$F$11="Amortissable différé total"),Simulation!$F$24*12),Simulation!$E$33*Simulation!$F$9/12,0)</f>
        <v>0</v>
      </c>
      <c r="G343" s="115">
        <f>IF(B343&lt;=MIN(Simulation!$F$10*12+Simulation!$F$12*OR(Simulation!$F$11="Amortissable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partiel",IF(B343&lt;=Simulation!$F$12,Simulation!$E$33*Simulation!$F$8/12,PMT(Simulation!$F$8/12,Simulation!$F$10*12,-Simulation!$E$34)),IF(Simulation!$F$11="Amortissable différé total",IF(B343&lt;=Simulation!$F$12,0,PMT(Simulation!$F$8/12,Simulation!$F$10*12,-Simulation!$E$34)),IF(Simulation!$F$11="In fine",IF(B343=Simulation!$F$10*12,Simulation!$E$34,Simulation!$F$8*Simulation!$E$34/12),0)))),0)</f>
        <v>0</v>
      </c>
      <c r="H343" s="113">
        <f>Simulation!$C$16/12*(1+Simulation!$F$15)^INT((B343-1)/12)*(B343&lt;=Simulation!$F$24*12)</f>
        <v>0</v>
      </c>
      <c r="I343" s="114">
        <f>(Simulation!$F$22-VLOOKUP(Simulation!$C$27,'Comparatif fiscal'!$B$8:$E$17,4,FALSE)-C343)*(B343=Simulation!$F$24*12)</f>
        <v>0</v>
      </c>
      <c r="J343" s="114">
        <f>(Simulation!$C$21+Simulation!$C$22)/12*(1+Simulation!$F$17)^INT((B343-1)/12)*(B343&lt;=Simulation!$F$24*12)</f>
        <v>0</v>
      </c>
      <c r="K343" s="114">
        <f>(H343*Simulation!$C$24+Simulation!$C$23/12*(1+Simulation!$F$15)^INT((B343-1)/12))*(B343&lt;=Simulation!$F$24*12)</f>
        <v>0</v>
      </c>
      <c r="L343" s="114">
        <f>Simulation!$C$19/12*(1+Simulation!$F$18)^INT((B343-1)/12)*(B343&lt;=Simulation!$F$24*12)</f>
        <v>0</v>
      </c>
      <c r="M343" s="114">
        <f>(Simulation!$C$20/12*(1+Simulation!$F$19)^INT((B343-1)/12)+F343)*(B343&lt;=Simulation!$F$24*12)</f>
        <v>0</v>
      </c>
      <c r="N343" s="114">
        <f ca="1">SUMIF('Détail fiscalité'!$B$8:$B$37,INT(B343/12),'Détail fiscalité'!$CI$8:$CI$37)/12+SUMIF('Détail fiscalité'!$B$8:$B$37,B343/12,'Détail fiscalité'!$CI$8:$CI$37)-SUMIF('Détail fiscalité'!$B$8:$B$37,B343/12-1,'Détail fiscalité'!$CI$8:$CI$37)</f>
        <v>0</v>
      </c>
      <c r="O343" s="116">
        <f t="shared" ca="1" si="26"/>
        <v>0</v>
      </c>
    </row>
    <row r="344" spans="2:15" x14ac:dyDescent="0.15">
      <c r="B344" s="40">
        <f t="shared" si="25"/>
        <v>337</v>
      </c>
      <c r="C344" s="113">
        <f>IF(B344&lt;=MIN(Simulation!$F$10*12+Simulation!$F$12*OR(Simulation!$F$11="Amortissable différé partiel",Simulation!$F$11="Amortissable différé total"),Simulation!$F$24*12),IF(AND(B344&lt;=Simulation!$F$12,OR(Simulation!$F$11="Amortissable différé partiel",Simulation!$F$11="Amortissable différé total")),C343*(1+(Simulation!$F$11="Amortissable différé total")*Simulation!$F$8/12),C343-D344),0)</f>
        <v>0</v>
      </c>
      <c r="D344" s="114">
        <f>IF(B344&lt;=MIN(Simulation!$F$10*12+Simulation!$F$12*OR(Simulation!$F$11="Amortissable différé partiel",Simulation!$F$11="Amortissable différé total"),Simulation!$F$24*12),G344-E344,0)</f>
        <v>0</v>
      </c>
      <c r="E344" s="114">
        <f>IF(B344&lt;=MIN(Simulation!$F$10*12+Simulation!$F$12*OR(Simulation!$F$11="Amortissable différé partiel",Simulation!$F$11="Amortissable différé total"),Simulation!$F$24*12),IF(AND(B344&lt;=Simulation!$F$12,Simulation!$F$11="Amortissable différé total"),0,C343*Simulation!$F$8/12),0)</f>
        <v>0</v>
      </c>
      <c r="F344" s="114">
        <f>IF(B344&lt;=MIN(Simulation!$F$10*12+Simulation!$F$12*OR(Simulation!$F$11="Amortissable différé partiel",Simulation!$F$11="Amortissable différé total"),Simulation!$F$24*12),Simulation!$E$33*Simulation!$F$9/12,0)</f>
        <v>0</v>
      </c>
      <c r="G344" s="115">
        <f>IF(B344&lt;=MIN(Simulation!$F$10*12+Simulation!$F$12*OR(Simulation!$F$11="Amortissable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partiel",IF(B344&lt;=Simulation!$F$12,Simulation!$E$33*Simulation!$F$8/12,PMT(Simulation!$F$8/12,Simulation!$F$10*12,-Simulation!$E$34)),IF(Simulation!$F$11="Amortissable différé total",IF(B344&lt;=Simulation!$F$12,0,PMT(Simulation!$F$8/12,Simulation!$F$10*12,-Simulation!$E$34)),IF(Simulation!$F$11="In fine",IF(B344=Simulation!$F$10*12,Simulation!$E$34,Simulation!$F$8*Simulation!$E$34/12),0)))),0)</f>
        <v>0</v>
      </c>
      <c r="H344" s="113">
        <f>Simulation!$C$16/12*(1+Simulation!$F$15)^INT((B344-1)/12)*(B344&lt;=Simulation!$F$24*12)</f>
        <v>0</v>
      </c>
      <c r="I344" s="114">
        <f>(Simulation!$F$22-VLOOKUP(Simulation!$C$27,'Comparatif fiscal'!$B$8:$E$17,4,FALSE)-C344)*(B344=Simulation!$F$24*12)</f>
        <v>0</v>
      </c>
      <c r="J344" s="114">
        <f>(Simulation!$C$21+Simulation!$C$22)/12*(1+Simulation!$F$17)^INT((B344-1)/12)*(B344&lt;=Simulation!$F$24*12)</f>
        <v>0</v>
      </c>
      <c r="K344" s="114">
        <f>(H344*Simulation!$C$24+Simulation!$C$23/12*(1+Simulation!$F$15)^INT((B344-1)/12))*(B344&lt;=Simulation!$F$24*12)</f>
        <v>0</v>
      </c>
      <c r="L344" s="114">
        <f>Simulation!$C$19/12*(1+Simulation!$F$18)^INT((B344-1)/12)*(B344&lt;=Simulation!$F$24*12)</f>
        <v>0</v>
      </c>
      <c r="M344" s="114">
        <f>(Simulation!$C$20/12*(1+Simulation!$F$19)^INT((B344-1)/12)+F344)*(B344&lt;=Simulation!$F$24*12)</f>
        <v>0</v>
      </c>
      <c r="N344" s="114">
        <f ca="1">SUMIF('Détail fiscalité'!$B$8:$B$37,INT(B344/12),'Détail fiscalité'!$CI$8:$CI$37)/12+SUMIF('Détail fiscalité'!$B$8:$B$37,B344/12,'Détail fiscalité'!$CI$8:$CI$37)-SUMIF('Détail fiscalité'!$B$8:$B$37,B344/12-1,'Détail fiscalité'!$CI$8:$CI$37)</f>
        <v>0</v>
      </c>
      <c r="O344" s="116">
        <f t="shared" ca="1" si="26"/>
        <v>0</v>
      </c>
    </row>
    <row r="345" spans="2:15" x14ac:dyDescent="0.15">
      <c r="B345" s="40">
        <f t="shared" si="25"/>
        <v>338</v>
      </c>
      <c r="C345" s="113">
        <f>IF(B345&lt;=MIN(Simulation!$F$10*12+Simulation!$F$12*OR(Simulation!$F$11="Amortissable différé partiel",Simulation!$F$11="Amortissable différé total"),Simulation!$F$24*12),IF(AND(B345&lt;=Simulation!$F$12,OR(Simulation!$F$11="Amortissable différé partiel",Simulation!$F$11="Amortissable différé total")),C344*(1+(Simulation!$F$11="Amortissable différé total")*Simulation!$F$8/12),C344-D345),0)</f>
        <v>0</v>
      </c>
      <c r="D345" s="114">
        <f>IF(B345&lt;=MIN(Simulation!$F$10*12+Simulation!$F$12*OR(Simulation!$F$11="Amortissable différé partiel",Simulation!$F$11="Amortissable différé total"),Simulation!$F$24*12),G345-E345,0)</f>
        <v>0</v>
      </c>
      <c r="E345" s="114">
        <f>IF(B345&lt;=MIN(Simulation!$F$10*12+Simulation!$F$12*OR(Simulation!$F$11="Amortissable différé partiel",Simulation!$F$11="Amortissable différé total"),Simulation!$F$24*12),IF(AND(B345&lt;=Simulation!$F$12,Simulation!$F$11="Amortissable différé total"),0,C344*Simulation!$F$8/12),0)</f>
        <v>0</v>
      </c>
      <c r="F345" s="114">
        <f>IF(B345&lt;=MIN(Simulation!$F$10*12+Simulation!$F$12*OR(Simulation!$F$11="Amortissable différé partiel",Simulation!$F$11="Amortissable différé total"),Simulation!$F$24*12),Simulation!$E$33*Simulation!$F$9/12,0)</f>
        <v>0</v>
      </c>
      <c r="G345" s="115">
        <f>IF(B345&lt;=MIN(Simulation!$F$10*12+Simulation!$F$12*OR(Simulation!$F$11="Amortissable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partiel",IF(B345&lt;=Simulation!$F$12,Simulation!$E$33*Simulation!$F$8/12,PMT(Simulation!$F$8/12,Simulation!$F$10*12,-Simulation!$E$34)),IF(Simulation!$F$11="Amortissable différé total",IF(B345&lt;=Simulation!$F$12,0,PMT(Simulation!$F$8/12,Simulation!$F$10*12,-Simulation!$E$34)),IF(Simulation!$F$11="In fine",IF(B345=Simulation!$F$10*12,Simulation!$E$34,Simulation!$F$8*Simulation!$E$34/12),0)))),0)</f>
        <v>0</v>
      </c>
      <c r="H345" s="113">
        <f>Simulation!$C$16/12*(1+Simulation!$F$15)^INT((B345-1)/12)*(B345&lt;=Simulation!$F$24*12)</f>
        <v>0</v>
      </c>
      <c r="I345" s="114">
        <f>(Simulation!$F$22-VLOOKUP(Simulation!$C$27,'Comparatif fiscal'!$B$8:$E$17,4,FALSE)-C345)*(B345=Simulation!$F$24*12)</f>
        <v>0</v>
      </c>
      <c r="J345" s="114">
        <f>(Simulation!$C$21+Simulation!$C$22)/12*(1+Simulation!$F$17)^INT((B345-1)/12)*(B345&lt;=Simulation!$F$24*12)</f>
        <v>0</v>
      </c>
      <c r="K345" s="114">
        <f>(H345*Simulation!$C$24+Simulation!$C$23/12*(1+Simulation!$F$15)^INT((B345-1)/12))*(B345&lt;=Simulation!$F$24*12)</f>
        <v>0</v>
      </c>
      <c r="L345" s="114">
        <f>Simulation!$C$19/12*(1+Simulation!$F$18)^INT((B345-1)/12)*(B345&lt;=Simulation!$F$24*12)</f>
        <v>0</v>
      </c>
      <c r="M345" s="114">
        <f>(Simulation!$C$20/12*(1+Simulation!$F$19)^INT((B345-1)/12)+F345)*(B345&lt;=Simulation!$F$24*12)</f>
        <v>0</v>
      </c>
      <c r="N345" s="114">
        <f ca="1">SUMIF('Détail fiscalité'!$B$8:$B$37,INT(B345/12),'Détail fiscalité'!$CI$8:$CI$37)/12+SUMIF('Détail fiscalité'!$B$8:$B$37,B345/12,'Détail fiscalité'!$CI$8:$CI$37)-SUMIF('Détail fiscalité'!$B$8:$B$37,B345/12-1,'Détail fiscalité'!$CI$8:$CI$37)</f>
        <v>0</v>
      </c>
      <c r="O345" s="116">
        <f t="shared" ca="1" si="26"/>
        <v>0</v>
      </c>
    </row>
    <row r="346" spans="2:15" x14ac:dyDescent="0.15">
      <c r="B346" s="40">
        <f t="shared" si="25"/>
        <v>339</v>
      </c>
      <c r="C346" s="113">
        <f>IF(B346&lt;=MIN(Simulation!$F$10*12+Simulation!$F$12*OR(Simulation!$F$11="Amortissable différé partiel",Simulation!$F$11="Amortissable différé total"),Simulation!$F$24*12),IF(AND(B346&lt;=Simulation!$F$12,OR(Simulation!$F$11="Amortissable différé partiel",Simulation!$F$11="Amortissable différé total")),C345*(1+(Simulation!$F$11="Amortissable différé total")*Simulation!$F$8/12),C345-D346),0)</f>
        <v>0</v>
      </c>
      <c r="D346" s="114">
        <f>IF(B346&lt;=MIN(Simulation!$F$10*12+Simulation!$F$12*OR(Simulation!$F$11="Amortissable différé partiel",Simulation!$F$11="Amortissable différé total"),Simulation!$F$24*12),G346-E346,0)</f>
        <v>0</v>
      </c>
      <c r="E346" s="114">
        <f>IF(B346&lt;=MIN(Simulation!$F$10*12+Simulation!$F$12*OR(Simulation!$F$11="Amortissable différé partiel",Simulation!$F$11="Amortissable différé total"),Simulation!$F$24*12),IF(AND(B346&lt;=Simulation!$F$12,Simulation!$F$11="Amortissable différé total"),0,C345*Simulation!$F$8/12),0)</f>
        <v>0</v>
      </c>
      <c r="F346" s="114">
        <f>IF(B346&lt;=MIN(Simulation!$F$10*12+Simulation!$F$12*OR(Simulation!$F$11="Amortissable différé partiel",Simulation!$F$11="Amortissable différé total"),Simulation!$F$24*12),Simulation!$E$33*Simulation!$F$9/12,0)</f>
        <v>0</v>
      </c>
      <c r="G346" s="115">
        <f>IF(B346&lt;=MIN(Simulation!$F$10*12+Simulation!$F$12*OR(Simulation!$F$11="Amortissable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partiel",IF(B346&lt;=Simulation!$F$12,Simulation!$E$33*Simulation!$F$8/12,PMT(Simulation!$F$8/12,Simulation!$F$10*12,-Simulation!$E$34)),IF(Simulation!$F$11="Amortissable différé total",IF(B346&lt;=Simulation!$F$12,0,PMT(Simulation!$F$8/12,Simulation!$F$10*12,-Simulation!$E$34)),IF(Simulation!$F$11="In fine",IF(B346=Simulation!$F$10*12,Simulation!$E$34,Simulation!$F$8*Simulation!$E$34/12),0)))),0)</f>
        <v>0</v>
      </c>
      <c r="H346" s="113">
        <f>Simulation!$C$16/12*(1+Simulation!$F$15)^INT((B346-1)/12)*(B346&lt;=Simulation!$F$24*12)</f>
        <v>0</v>
      </c>
      <c r="I346" s="114">
        <f>(Simulation!$F$22-VLOOKUP(Simulation!$C$27,'Comparatif fiscal'!$B$8:$E$17,4,FALSE)-C346)*(B346=Simulation!$F$24*12)</f>
        <v>0</v>
      </c>
      <c r="J346" s="114">
        <f>(Simulation!$C$21+Simulation!$C$22)/12*(1+Simulation!$F$17)^INT((B346-1)/12)*(B346&lt;=Simulation!$F$24*12)</f>
        <v>0</v>
      </c>
      <c r="K346" s="114">
        <f>(H346*Simulation!$C$24+Simulation!$C$23/12*(1+Simulation!$F$15)^INT((B346-1)/12))*(B346&lt;=Simulation!$F$24*12)</f>
        <v>0</v>
      </c>
      <c r="L346" s="114">
        <f>Simulation!$C$19/12*(1+Simulation!$F$18)^INT((B346-1)/12)*(B346&lt;=Simulation!$F$24*12)</f>
        <v>0</v>
      </c>
      <c r="M346" s="114">
        <f>(Simulation!$C$20/12*(1+Simulation!$F$19)^INT((B346-1)/12)+F346)*(B346&lt;=Simulation!$F$24*12)</f>
        <v>0</v>
      </c>
      <c r="N346" s="114">
        <f ca="1">SUMIF('Détail fiscalité'!$B$8:$B$37,INT(B346/12),'Détail fiscalité'!$CI$8:$CI$37)/12+SUMIF('Détail fiscalité'!$B$8:$B$37,B346/12,'Détail fiscalité'!$CI$8:$CI$37)-SUMIF('Détail fiscalité'!$B$8:$B$37,B346/12-1,'Détail fiscalité'!$CI$8:$CI$37)</f>
        <v>0</v>
      </c>
      <c r="O346" s="116">
        <f t="shared" ca="1" si="26"/>
        <v>0</v>
      </c>
    </row>
    <row r="347" spans="2:15" x14ac:dyDescent="0.15">
      <c r="B347" s="40">
        <f t="shared" si="25"/>
        <v>340</v>
      </c>
      <c r="C347" s="113">
        <f>IF(B347&lt;=MIN(Simulation!$F$10*12+Simulation!$F$12*OR(Simulation!$F$11="Amortissable différé partiel",Simulation!$F$11="Amortissable différé total"),Simulation!$F$24*12),IF(AND(B347&lt;=Simulation!$F$12,OR(Simulation!$F$11="Amortissable différé partiel",Simulation!$F$11="Amortissable différé total")),C346*(1+(Simulation!$F$11="Amortissable différé total")*Simulation!$F$8/12),C346-D347),0)</f>
        <v>0</v>
      </c>
      <c r="D347" s="114">
        <f>IF(B347&lt;=MIN(Simulation!$F$10*12+Simulation!$F$12*OR(Simulation!$F$11="Amortissable différé partiel",Simulation!$F$11="Amortissable différé total"),Simulation!$F$24*12),G347-E347,0)</f>
        <v>0</v>
      </c>
      <c r="E347" s="114">
        <f>IF(B347&lt;=MIN(Simulation!$F$10*12+Simulation!$F$12*OR(Simulation!$F$11="Amortissable différé partiel",Simulation!$F$11="Amortissable différé total"),Simulation!$F$24*12),IF(AND(B347&lt;=Simulation!$F$12,Simulation!$F$11="Amortissable différé total"),0,C346*Simulation!$F$8/12),0)</f>
        <v>0</v>
      </c>
      <c r="F347" s="114">
        <f>IF(B347&lt;=MIN(Simulation!$F$10*12+Simulation!$F$12*OR(Simulation!$F$11="Amortissable différé partiel",Simulation!$F$11="Amortissable différé total"),Simulation!$F$24*12),Simulation!$E$33*Simulation!$F$9/12,0)</f>
        <v>0</v>
      </c>
      <c r="G347" s="115">
        <f>IF(B347&lt;=MIN(Simulation!$F$10*12+Simulation!$F$12*OR(Simulation!$F$11="Amortissable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partiel",IF(B347&lt;=Simulation!$F$12,Simulation!$E$33*Simulation!$F$8/12,PMT(Simulation!$F$8/12,Simulation!$F$10*12,-Simulation!$E$34)),IF(Simulation!$F$11="Amortissable différé total",IF(B347&lt;=Simulation!$F$12,0,PMT(Simulation!$F$8/12,Simulation!$F$10*12,-Simulation!$E$34)),IF(Simulation!$F$11="In fine",IF(B347=Simulation!$F$10*12,Simulation!$E$34,Simulation!$F$8*Simulation!$E$34/12),0)))),0)</f>
        <v>0</v>
      </c>
      <c r="H347" s="113">
        <f>Simulation!$C$16/12*(1+Simulation!$F$15)^INT((B347-1)/12)*(B347&lt;=Simulation!$F$24*12)</f>
        <v>0</v>
      </c>
      <c r="I347" s="114">
        <f>(Simulation!$F$22-VLOOKUP(Simulation!$C$27,'Comparatif fiscal'!$B$8:$E$17,4,FALSE)-C347)*(B347=Simulation!$F$24*12)</f>
        <v>0</v>
      </c>
      <c r="J347" s="114">
        <f>(Simulation!$C$21+Simulation!$C$22)/12*(1+Simulation!$F$17)^INT((B347-1)/12)*(B347&lt;=Simulation!$F$24*12)</f>
        <v>0</v>
      </c>
      <c r="K347" s="114">
        <f>(H347*Simulation!$C$24+Simulation!$C$23/12*(1+Simulation!$F$15)^INT((B347-1)/12))*(B347&lt;=Simulation!$F$24*12)</f>
        <v>0</v>
      </c>
      <c r="L347" s="114">
        <f>Simulation!$C$19/12*(1+Simulation!$F$18)^INT((B347-1)/12)*(B347&lt;=Simulation!$F$24*12)</f>
        <v>0</v>
      </c>
      <c r="M347" s="114">
        <f>(Simulation!$C$20/12*(1+Simulation!$F$19)^INT((B347-1)/12)+F347)*(B347&lt;=Simulation!$F$24*12)</f>
        <v>0</v>
      </c>
      <c r="N347" s="114">
        <f ca="1">SUMIF('Détail fiscalité'!$B$8:$B$37,INT(B347/12),'Détail fiscalité'!$CI$8:$CI$37)/12+SUMIF('Détail fiscalité'!$B$8:$B$37,B347/12,'Détail fiscalité'!$CI$8:$CI$37)-SUMIF('Détail fiscalité'!$B$8:$B$37,B347/12-1,'Détail fiscalité'!$CI$8:$CI$37)</f>
        <v>0</v>
      </c>
      <c r="O347" s="116">
        <f t="shared" ca="1" si="26"/>
        <v>0</v>
      </c>
    </row>
    <row r="348" spans="2:15" x14ac:dyDescent="0.15">
      <c r="B348" s="40">
        <f t="shared" si="25"/>
        <v>341</v>
      </c>
      <c r="C348" s="113">
        <f>IF(B348&lt;=MIN(Simulation!$F$10*12+Simulation!$F$12*OR(Simulation!$F$11="Amortissable différé partiel",Simulation!$F$11="Amortissable différé total"),Simulation!$F$24*12),IF(AND(B348&lt;=Simulation!$F$12,OR(Simulation!$F$11="Amortissable différé partiel",Simulation!$F$11="Amortissable différé total")),C347*(1+(Simulation!$F$11="Amortissable différé total")*Simulation!$F$8/12),C347-D348),0)</f>
        <v>0</v>
      </c>
      <c r="D348" s="114">
        <f>IF(B348&lt;=MIN(Simulation!$F$10*12+Simulation!$F$12*OR(Simulation!$F$11="Amortissable différé partiel",Simulation!$F$11="Amortissable différé total"),Simulation!$F$24*12),G348-E348,0)</f>
        <v>0</v>
      </c>
      <c r="E348" s="114">
        <f>IF(B348&lt;=MIN(Simulation!$F$10*12+Simulation!$F$12*OR(Simulation!$F$11="Amortissable différé partiel",Simulation!$F$11="Amortissable différé total"),Simulation!$F$24*12),IF(AND(B348&lt;=Simulation!$F$12,Simulation!$F$11="Amortissable différé total"),0,C347*Simulation!$F$8/12),0)</f>
        <v>0</v>
      </c>
      <c r="F348" s="114">
        <f>IF(B348&lt;=MIN(Simulation!$F$10*12+Simulation!$F$12*OR(Simulation!$F$11="Amortissable différé partiel",Simulation!$F$11="Amortissable différé total"),Simulation!$F$24*12),Simulation!$E$33*Simulation!$F$9/12,0)</f>
        <v>0</v>
      </c>
      <c r="G348" s="115">
        <f>IF(B348&lt;=MIN(Simulation!$F$10*12+Simulation!$F$12*OR(Simulation!$F$11="Amortissable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partiel",IF(B348&lt;=Simulation!$F$12,Simulation!$E$33*Simulation!$F$8/12,PMT(Simulation!$F$8/12,Simulation!$F$10*12,-Simulation!$E$34)),IF(Simulation!$F$11="Amortissable différé total",IF(B348&lt;=Simulation!$F$12,0,PMT(Simulation!$F$8/12,Simulation!$F$10*12,-Simulation!$E$34)),IF(Simulation!$F$11="In fine",IF(B348=Simulation!$F$10*12,Simulation!$E$34,Simulation!$F$8*Simulation!$E$34/12),0)))),0)</f>
        <v>0</v>
      </c>
      <c r="H348" s="113">
        <f>Simulation!$C$16/12*(1+Simulation!$F$15)^INT((B348-1)/12)*(B348&lt;=Simulation!$F$24*12)</f>
        <v>0</v>
      </c>
      <c r="I348" s="114">
        <f>(Simulation!$F$22-VLOOKUP(Simulation!$C$27,'Comparatif fiscal'!$B$8:$E$17,4,FALSE)-C348)*(B348=Simulation!$F$24*12)</f>
        <v>0</v>
      </c>
      <c r="J348" s="114">
        <f>(Simulation!$C$21+Simulation!$C$22)/12*(1+Simulation!$F$17)^INT((B348-1)/12)*(B348&lt;=Simulation!$F$24*12)</f>
        <v>0</v>
      </c>
      <c r="K348" s="114">
        <f>(H348*Simulation!$C$24+Simulation!$C$23/12*(1+Simulation!$F$15)^INT((B348-1)/12))*(B348&lt;=Simulation!$F$24*12)</f>
        <v>0</v>
      </c>
      <c r="L348" s="114">
        <f>Simulation!$C$19/12*(1+Simulation!$F$18)^INT((B348-1)/12)*(B348&lt;=Simulation!$F$24*12)</f>
        <v>0</v>
      </c>
      <c r="M348" s="114">
        <f>(Simulation!$C$20/12*(1+Simulation!$F$19)^INT((B348-1)/12)+F348)*(B348&lt;=Simulation!$F$24*12)</f>
        <v>0</v>
      </c>
      <c r="N348" s="114">
        <f ca="1">SUMIF('Détail fiscalité'!$B$8:$B$37,INT(B348/12),'Détail fiscalité'!$CI$8:$CI$37)/12+SUMIF('Détail fiscalité'!$B$8:$B$37,B348/12,'Détail fiscalité'!$CI$8:$CI$37)-SUMIF('Détail fiscalité'!$B$8:$B$37,B348/12-1,'Détail fiscalité'!$CI$8:$CI$37)</f>
        <v>0</v>
      </c>
      <c r="O348" s="116">
        <f t="shared" ca="1" si="26"/>
        <v>0</v>
      </c>
    </row>
    <row r="349" spans="2:15" x14ac:dyDescent="0.15">
      <c r="B349" s="40">
        <f t="shared" si="25"/>
        <v>342</v>
      </c>
      <c r="C349" s="113">
        <f>IF(B349&lt;=MIN(Simulation!$F$10*12+Simulation!$F$12*OR(Simulation!$F$11="Amortissable différé partiel",Simulation!$F$11="Amortissable différé total"),Simulation!$F$24*12),IF(AND(B349&lt;=Simulation!$F$12,OR(Simulation!$F$11="Amortissable différé partiel",Simulation!$F$11="Amortissable différé total")),C348*(1+(Simulation!$F$11="Amortissable différé total")*Simulation!$F$8/12),C348-D349),0)</f>
        <v>0</v>
      </c>
      <c r="D349" s="114">
        <f>IF(B349&lt;=MIN(Simulation!$F$10*12+Simulation!$F$12*OR(Simulation!$F$11="Amortissable différé partiel",Simulation!$F$11="Amortissable différé total"),Simulation!$F$24*12),G349-E349,0)</f>
        <v>0</v>
      </c>
      <c r="E349" s="114">
        <f>IF(B349&lt;=MIN(Simulation!$F$10*12+Simulation!$F$12*OR(Simulation!$F$11="Amortissable différé partiel",Simulation!$F$11="Amortissable différé total"),Simulation!$F$24*12),IF(AND(B349&lt;=Simulation!$F$12,Simulation!$F$11="Amortissable différé total"),0,C348*Simulation!$F$8/12),0)</f>
        <v>0</v>
      </c>
      <c r="F349" s="114">
        <f>IF(B349&lt;=MIN(Simulation!$F$10*12+Simulation!$F$12*OR(Simulation!$F$11="Amortissable différé partiel",Simulation!$F$11="Amortissable différé total"),Simulation!$F$24*12),Simulation!$E$33*Simulation!$F$9/12,0)</f>
        <v>0</v>
      </c>
      <c r="G349" s="115">
        <f>IF(B349&lt;=MIN(Simulation!$F$10*12+Simulation!$F$12*OR(Simulation!$F$11="Amortissable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partiel",IF(B349&lt;=Simulation!$F$12,Simulation!$E$33*Simulation!$F$8/12,PMT(Simulation!$F$8/12,Simulation!$F$10*12,-Simulation!$E$34)),IF(Simulation!$F$11="Amortissable différé total",IF(B349&lt;=Simulation!$F$12,0,PMT(Simulation!$F$8/12,Simulation!$F$10*12,-Simulation!$E$34)),IF(Simulation!$F$11="In fine",IF(B349=Simulation!$F$10*12,Simulation!$E$34,Simulation!$F$8*Simulation!$E$34/12),0)))),0)</f>
        <v>0</v>
      </c>
      <c r="H349" s="113">
        <f>Simulation!$C$16/12*(1+Simulation!$F$15)^INT((B349-1)/12)*(B349&lt;=Simulation!$F$24*12)</f>
        <v>0</v>
      </c>
      <c r="I349" s="114">
        <f>(Simulation!$F$22-VLOOKUP(Simulation!$C$27,'Comparatif fiscal'!$B$8:$E$17,4,FALSE)-C349)*(B349=Simulation!$F$24*12)</f>
        <v>0</v>
      </c>
      <c r="J349" s="114">
        <f>(Simulation!$C$21+Simulation!$C$22)/12*(1+Simulation!$F$17)^INT((B349-1)/12)*(B349&lt;=Simulation!$F$24*12)</f>
        <v>0</v>
      </c>
      <c r="K349" s="114">
        <f>(H349*Simulation!$C$24+Simulation!$C$23/12*(1+Simulation!$F$15)^INT((B349-1)/12))*(B349&lt;=Simulation!$F$24*12)</f>
        <v>0</v>
      </c>
      <c r="L349" s="114">
        <f>Simulation!$C$19/12*(1+Simulation!$F$18)^INT((B349-1)/12)*(B349&lt;=Simulation!$F$24*12)</f>
        <v>0</v>
      </c>
      <c r="M349" s="114">
        <f>(Simulation!$C$20/12*(1+Simulation!$F$19)^INT((B349-1)/12)+F349)*(B349&lt;=Simulation!$F$24*12)</f>
        <v>0</v>
      </c>
      <c r="N349" s="114">
        <f ca="1">SUMIF('Détail fiscalité'!$B$8:$B$37,INT(B349/12),'Détail fiscalité'!$CI$8:$CI$37)/12+SUMIF('Détail fiscalité'!$B$8:$B$37,B349/12,'Détail fiscalité'!$CI$8:$CI$37)-SUMIF('Détail fiscalité'!$B$8:$B$37,B349/12-1,'Détail fiscalité'!$CI$8:$CI$37)</f>
        <v>0</v>
      </c>
      <c r="O349" s="116">
        <f t="shared" ca="1" si="26"/>
        <v>0</v>
      </c>
    </row>
    <row r="350" spans="2:15" x14ac:dyDescent="0.15">
      <c r="B350" s="40">
        <f t="shared" si="25"/>
        <v>343</v>
      </c>
      <c r="C350" s="113">
        <f>IF(B350&lt;=MIN(Simulation!$F$10*12+Simulation!$F$12*OR(Simulation!$F$11="Amortissable différé partiel",Simulation!$F$11="Amortissable différé total"),Simulation!$F$24*12),IF(AND(B350&lt;=Simulation!$F$12,OR(Simulation!$F$11="Amortissable différé partiel",Simulation!$F$11="Amortissable différé total")),C349*(1+(Simulation!$F$11="Amortissable différé total")*Simulation!$F$8/12),C349-D350),0)</f>
        <v>0</v>
      </c>
      <c r="D350" s="114">
        <f>IF(B350&lt;=MIN(Simulation!$F$10*12+Simulation!$F$12*OR(Simulation!$F$11="Amortissable différé partiel",Simulation!$F$11="Amortissable différé total"),Simulation!$F$24*12),G350-E350,0)</f>
        <v>0</v>
      </c>
      <c r="E350" s="114">
        <f>IF(B350&lt;=MIN(Simulation!$F$10*12+Simulation!$F$12*OR(Simulation!$F$11="Amortissable différé partiel",Simulation!$F$11="Amortissable différé total"),Simulation!$F$24*12),IF(AND(B350&lt;=Simulation!$F$12,Simulation!$F$11="Amortissable différé total"),0,C349*Simulation!$F$8/12),0)</f>
        <v>0</v>
      </c>
      <c r="F350" s="114">
        <f>IF(B350&lt;=MIN(Simulation!$F$10*12+Simulation!$F$12*OR(Simulation!$F$11="Amortissable différé partiel",Simulation!$F$11="Amortissable différé total"),Simulation!$F$24*12),Simulation!$E$33*Simulation!$F$9/12,0)</f>
        <v>0</v>
      </c>
      <c r="G350" s="115">
        <f>IF(B350&lt;=MIN(Simulation!$F$10*12+Simulation!$F$12*OR(Simulation!$F$11="Amortissable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partiel",IF(B350&lt;=Simulation!$F$12,Simulation!$E$33*Simulation!$F$8/12,PMT(Simulation!$F$8/12,Simulation!$F$10*12,-Simulation!$E$34)),IF(Simulation!$F$11="Amortissable différé total",IF(B350&lt;=Simulation!$F$12,0,PMT(Simulation!$F$8/12,Simulation!$F$10*12,-Simulation!$E$34)),IF(Simulation!$F$11="In fine",IF(B350=Simulation!$F$10*12,Simulation!$E$34,Simulation!$F$8*Simulation!$E$34/12),0)))),0)</f>
        <v>0</v>
      </c>
      <c r="H350" s="113">
        <f>Simulation!$C$16/12*(1+Simulation!$F$15)^INT((B350-1)/12)*(B350&lt;=Simulation!$F$24*12)</f>
        <v>0</v>
      </c>
      <c r="I350" s="114">
        <f>(Simulation!$F$22-VLOOKUP(Simulation!$C$27,'Comparatif fiscal'!$B$8:$E$17,4,FALSE)-C350)*(B350=Simulation!$F$24*12)</f>
        <v>0</v>
      </c>
      <c r="J350" s="114">
        <f>(Simulation!$C$21+Simulation!$C$22)/12*(1+Simulation!$F$17)^INT((B350-1)/12)*(B350&lt;=Simulation!$F$24*12)</f>
        <v>0</v>
      </c>
      <c r="K350" s="114">
        <f>(H350*Simulation!$C$24+Simulation!$C$23/12*(1+Simulation!$F$15)^INT((B350-1)/12))*(B350&lt;=Simulation!$F$24*12)</f>
        <v>0</v>
      </c>
      <c r="L350" s="114">
        <f>Simulation!$C$19/12*(1+Simulation!$F$18)^INT((B350-1)/12)*(B350&lt;=Simulation!$F$24*12)</f>
        <v>0</v>
      </c>
      <c r="M350" s="114">
        <f>(Simulation!$C$20/12*(1+Simulation!$F$19)^INT((B350-1)/12)+F350)*(B350&lt;=Simulation!$F$24*12)</f>
        <v>0</v>
      </c>
      <c r="N350" s="114">
        <f ca="1">SUMIF('Détail fiscalité'!$B$8:$B$37,INT(B350/12),'Détail fiscalité'!$CI$8:$CI$37)/12+SUMIF('Détail fiscalité'!$B$8:$B$37,B350/12,'Détail fiscalité'!$CI$8:$CI$37)-SUMIF('Détail fiscalité'!$B$8:$B$37,B350/12-1,'Détail fiscalité'!$CI$8:$CI$37)</f>
        <v>0</v>
      </c>
      <c r="O350" s="116">
        <f t="shared" ca="1" si="26"/>
        <v>0</v>
      </c>
    </row>
    <row r="351" spans="2:15" x14ac:dyDescent="0.15">
      <c r="B351" s="40">
        <f t="shared" si="25"/>
        <v>344</v>
      </c>
      <c r="C351" s="113">
        <f>IF(B351&lt;=MIN(Simulation!$F$10*12+Simulation!$F$12*OR(Simulation!$F$11="Amortissable différé partiel",Simulation!$F$11="Amortissable différé total"),Simulation!$F$24*12),IF(AND(B351&lt;=Simulation!$F$12,OR(Simulation!$F$11="Amortissable différé partiel",Simulation!$F$11="Amortissable différé total")),C350*(1+(Simulation!$F$11="Amortissable différé total")*Simulation!$F$8/12),C350-D351),0)</f>
        <v>0</v>
      </c>
      <c r="D351" s="114">
        <f>IF(B351&lt;=MIN(Simulation!$F$10*12+Simulation!$F$12*OR(Simulation!$F$11="Amortissable différé partiel",Simulation!$F$11="Amortissable différé total"),Simulation!$F$24*12),G351-E351,0)</f>
        <v>0</v>
      </c>
      <c r="E351" s="114">
        <f>IF(B351&lt;=MIN(Simulation!$F$10*12+Simulation!$F$12*OR(Simulation!$F$11="Amortissable différé partiel",Simulation!$F$11="Amortissable différé total"),Simulation!$F$24*12),IF(AND(B351&lt;=Simulation!$F$12,Simulation!$F$11="Amortissable différé total"),0,C350*Simulation!$F$8/12),0)</f>
        <v>0</v>
      </c>
      <c r="F351" s="114">
        <f>IF(B351&lt;=MIN(Simulation!$F$10*12+Simulation!$F$12*OR(Simulation!$F$11="Amortissable différé partiel",Simulation!$F$11="Amortissable différé total"),Simulation!$F$24*12),Simulation!$E$33*Simulation!$F$9/12,0)</f>
        <v>0</v>
      </c>
      <c r="G351" s="115">
        <f>IF(B351&lt;=MIN(Simulation!$F$10*12+Simulation!$F$12*OR(Simulation!$F$11="Amortissable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partiel",IF(B351&lt;=Simulation!$F$12,Simulation!$E$33*Simulation!$F$8/12,PMT(Simulation!$F$8/12,Simulation!$F$10*12,-Simulation!$E$34)),IF(Simulation!$F$11="Amortissable différé total",IF(B351&lt;=Simulation!$F$12,0,PMT(Simulation!$F$8/12,Simulation!$F$10*12,-Simulation!$E$34)),IF(Simulation!$F$11="In fine",IF(B351=Simulation!$F$10*12,Simulation!$E$34,Simulation!$F$8*Simulation!$E$34/12),0)))),0)</f>
        <v>0</v>
      </c>
      <c r="H351" s="113">
        <f>Simulation!$C$16/12*(1+Simulation!$F$15)^INT((B351-1)/12)*(B351&lt;=Simulation!$F$24*12)</f>
        <v>0</v>
      </c>
      <c r="I351" s="114">
        <f>(Simulation!$F$22-VLOOKUP(Simulation!$C$27,'Comparatif fiscal'!$B$8:$E$17,4,FALSE)-C351)*(B351=Simulation!$F$24*12)</f>
        <v>0</v>
      </c>
      <c r="J351" s="114">
        <f>(Simulation!$C$21+Simulation!$C$22)/12*(1+Simulation!$F$17)^INT((B351-1)/12)*(B351&lt;=Simulation!$F$24*12)</f>
        <v>0</v>
      </c>
      <c r="K351" s="114">
        <f>(H351*Simulation!$C$24+Simulation!$C$23/12*(1+Simulation!$F$15)^INT((B351-1)/12))*(B351&lt;=Simulation!$F$24*12)</f>
        <v>0</v>
      </c>
      <c r="L351" s="114">
        <f>Simulation!$C$19/12*(1+Simulation!$F$18)^INT((B351-1)/12)*(B351&lt;=Simulation!$F$24*12)</f>
        <v>0</v>
      </c>
      <c r="M351" s="114">
        <f>(Simulation!$C$20/12*(1+Simulation!$F$19)^INT((B351-1)/12)+F351)*(B351&lt;=Simulation!$F$24*12)</f>
        <v>0</v>
      </c>
      <c r="N351" s="114">
        <f ca="1">SUMIF('Détail fiscalité'!$B$8:$B$37,INT(B351/12),'Détail fiscalité'!$CI$8:$CI$37)/12+SUMIF('Détail fiscalité'!$B$8:$B$37,B351/12,'Détail fiscalité'!$CI$8:$CI$37)-SUMIF('Détail fiscalité'!$B$8:$B$37,B351/12-1,'Détail fiscalité'!$CI$8:$CI$37)</f>
        <v>0</v>
      </c>
      <c r="O351" s="116">
        <f t="shared" ca="1" si="26"/>
        <v>0</v>
      </c>
    </row>
    <row r="352" spans="2:15" x14ac:dyDescent="0.15">
      <c r="B352" s="40">
        <f t="shared" si="25"/>
        <v>345</v>
      </c>
      <c r="C352" s="113">
        <f>IF(B352&lt;=MIN(Simulation!$F$10*12+Simulation!$F$12*OR(Simulation!$F$11="Amortissable différé partiel",Simulation!$F$11="Amortissable différé total"),Simulation!$F$24*12),IF(AND(B352&lt;=Simulation!$F$12,OR(Simulation!$F$11="Amortissable différé partiel",Simulation!$F$11="Amortissable différé total")),C351*(1+(Simulation!$F$11="Amortissable différé total")*Simulation!$F$8/12),C351-D352),0)</f>
        <v>0</v>
      </c>
      <c r="D352" s="114">
        <f>IF(B352&lt;=MIN(Simulation!$F$10*12+Simulation!$F$12*OR(Simulation!$F$11="Amortissable différé partiel",Simulation!$F$11="Amortissable différé total"),Simulation!$F$24*12),G352-E352,0)</f>
        <v>0</v>
      </c>
      <c r="E352" s="114">
        <f>IF(B352&lt;=MIN(Simulation!$F$10*12+Simulation!$F$12*OR(Simulation!$F$11="Amortissable différé partiel",Simulation!$F$11="Amortissable différé total"),Simulation!$F$24*12),IF(AND(B352&lt;=Simulation!$F$12,Simulation!$F$11="Amortissable différé total"),0,C351*Simulation!$F$8/12),0)</f>
        <v>0</v>
      </c>
      <c r="F352" s="114">
        <f>IF(B352&lt;=MIN(Simulation!$F$10*12+Simulation!$F$12*OR(Simulation!$F$11="Amortissable différé partiel",Simulation!$F$11="Amortissable différé total"),Simulation!$F$24*12),Simulation!$E$33*Simulation!$F$9/12,0)</f>
        <v>0</v>
      </c>
      <c r="G352" s="115">
        <f>IF(B352&lt;=MIN(Simulation!$F$10*12+Simulation!$F$12*OR(Simulation!$F$11="Amortissable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partiel",IF(B352&lt;=Simulation!$F$12,Simulation!$E$33*Simulation!$F$8/12,PMT(Simulation!$F$8/12,Simulation!$F$10*12,-Simulation!$E$34)),IF(Simulation!$F$11="Amortissable différé total",IF(B352&lt;=Simulation!$F$12,0,PMT(Simulation!$F$8/12,Simulation!$F$10*12,-Simulation!$E$34)),IF(Simulation!$F$11="In fine",IF(B352=Simulation!$F$10*12,Simulation!$E$34,Simulation!$F$8*Simulation!$E$34/12),0)))),0)</f>
        <v>0</v>
      </c>
      <c r="H352" s="113">
        <f>Simulation!$C$16/12*(1+Simulation!$F$15)^INT((B352-1)/12)*(B352&lt;=Simulation!$F$24*12)</f>
        <v>0</v>
      </c>
      <c r="I352" s="114">
        <f>(Simulation!$F$22-VLOOKUP(Simulation!$C$27,'Comparatif fiscal'!$B$8:$E$17,4,FALSE)-C352)*(B352=Simulation!$F$24*12)</f>
        <v>0</v>
      </c>
      <c r="J352" s="114">
        <f>(Simulation!$C$21+Simulation!$C$22)/12*(1+Simulation!$F$17)^INT((B352-1)/12)*(B352&lt;=Simulation!$F$24*12)</f>
        <v>0</v>
      </c>
      <c r="K352" s="114">
        <f>(H352*Simulation!$C$24+Simulation!$C$23/12*(1+Simulation!$F$15)^INT((B352-1)/12))*(B352&lt;=Simulation!$F$24*12)</f>
        <v>0</v>
      </c>
      <c r="L352" s="114">
        <f>Simulation!$C$19/12*(1+Simulation!$F$18)^INT((B352-1)/12)*(B352&lt;=Simulation!$F$24*12)</f>
        <v>0</v>
      </c>
      <c r="M352" s="114">
        <f>(Simulation!$C$20/12*(1+Simulation!$F$19)^INT((B352-1)/12)+F352)*(B352&lt;=Simulation!$F$24*12)</f>
        <v>0</v>
      </c>
      <c r="N352" s="114">
        <f ca="1">SUMIF('Détail fiscalité'!$B$8:$B$37,INT(B352/12),'Détail fiscalité'!$CI$8:$CI$37)/12+SUMIF('Détail fiscalité'!$B$8:$B$37,B352/12,'Détail fiscalité'!$CI$8:$CI$37)-SUMIF('Détail fiscalité'!$B$8:$B$37,B352/12-1,'Détail fiscalité'!$CI$8:$CI$37)</f>
        <v>0</v>
      </c>
      <c r="O352" s="116">
        <f t="shared" ca="1" si="26"/>
        <v>0</v>
      </c>
    </row>
    <row r="353" spans="2:15" x14ac:dyDescent="0.15">
      <c r="B353" s="40">
        <f t="shared" si="25"/>
        <v>346</v>
      </c>
      <c r="C353" s="113">
        <f>IF(B353&lt;=MIN(Simulation!$F$10*12+Simulation!$F$12*OR(Simulation!$F$11="Amortissable différé partiel",Simulation!$F$11="Amortissable différé total"),Simulation!$F$24*12),IF(AND(B353&lt;=Simulation!$F$12,OR(Simulation!$F$11="Amortissable différé partiel",Simulation!$F$11="Amortissable différé total")),C352*(1+(Simulation!$F$11="Amortissable différé total")*Simulation!$F$8/12),C352-D353),0)</f>
        <v>0</v>
      </c>
      <c r="D353" s="114">
        <f>IF(B353&lt;=MIN(Simulation!$F$10*12+Simulation!$F$12*OR(Simulation!$F$11="Amortissable différé partiel",Simulation!$F$11="Amortissable différé total"),Simulation!$F$24*12),G353-E353,0)</f>
        <v>0</v>
      </c>
      <c r="E353" s="114">
        <f>IF(B353&lt;=MIN(Simulation!$F$10*12+Simulation!$F$12*OR(Simulation!$F$11="Amortissable différé partiel",Simulation!$F$11="Amortissable différé total"),Simulation!$F$24*12),IF(AND(B353&lt;=Simulation!$F$12,Simulation!$F$11="Amortissable différé total"),0,C352*Simulation!$F$8/12),0)</f>
        <v>0</v>
      </c>
      <c r="F353" s="114">
        <f>IF(B353&lt;=MIN(Simulation!$F$10*12+Simulation!$F$12*OR(Simulation!$F$11="Amortissable différé partiel",Simulation!$F$11="Amortissable différé total"),Simulation!$F$24*12),Simulation!$E$33*Simulation!$F$9/12,0)</f>
        <v>0</v>
      </c>
      <c r="G353" s="115">
        <f>IF(B353&lt;=MIN(Simulation!$F$10*12+Simulation!$F$12*OR(Simulation!$F$11="Amortissable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partiel",IF(B353&lt;=Simulation!$F$12,Simulation!$E$33*Simulation!$F$8/12,PMT(Simulation!$F$8/12,Simulation!$F$10*12,-Simulation!$E$34)),IF(Simulation!$F$11="Amortissable différé total",IF(B353&lt;=Simulation!$F$12,0,PMT(Simulation!$F$8/12,Simulation!$F$10*12,-Simulation!$E$34)),IF(Simulation!$F$11="In fine",IF(B353=Simulation!$F$10*12,Simulation!$E$34,Simulation!$F$8*Simulation!$E$34/12),0)))),0)</f>
        <v>0</v>
      </c>
      <c r="H353" s="113">
        <f>Simulation!$C$16/12*(1+Simulation!$F$15)^INT((B353-1)/12)*(B353&lt;=Simulation!$F$24*12)</f>
        <v>0</v>
      </c>
      <c r="I353" s="114">
        <f>(Simulation!$F$22-VLOOKUP(Simulation!$C$27,'Comparatif fiscal'!$B$8:$E$17,4,FALSE)-C353)*(B353=Simulation!$F$24*12)</f>
        <v>0</v>
      </c>
      <c r="J353" s="114">
        <f>(Simulation!$C$21+Simulation!$C$22)/12*(1+Simulation!$F$17)^INT((B353-1)/12)*(B353&lt;=Simulation!$F$24*12)</f>
        <v>0</v>
      </c>
      <c r="K353" s="114">
        <f>(H353*Simulation!$C$24+Simulation!$C$23/12*(1+Simulation!$F$15)^INT((B353-1)/12))*(B353&lt;=Simulation!$F$24*12)</f>
        <v>0</v>
      </c>
      <c r="L353" s="114">
        <f>Simulation!$C$19/12*(1+Simulation!$F$18)^INT((B353-1)/12)*(B353&lt;=Simulation!$F$24*12)</f>
        <v>0</v>
      </c>
      <c r="M353" s="114">
        <f>(Simulation!$C$20/12*(1+Simulation!$F$19)^INT((B353-1)/12)+F353)*(B353&lt;=Simulation!$F$24*12)</f>
        <v>0</v>
      </c>
      <c r="N353" s="114">
        <f ca="1">SUMIF('Détail fiscalité'!$B$8:$B$37,INT(B353/12),'Détail fiscalité'!$CI$8:$CI$37)/12+SUMIF('Détail fiscalité'!$B$8:$B$37,B353/12,'Détail fiscalité'!$CI$8:$CI$37)-SUMIF('Détail fiscalité'!$B$8:$B$37,B353/12-1,'Détail fiscalité'!$CI$8:$CI$37)</f>
        <v>0</v>
      </c>
      <c r="O353" s="116">
        <f t="shared" ca="1" si="26"/>
        <v>0</v>
      </c>
    </row>
    <row r="354" spans="2:15" x14ac:dyDescent="0.15">
      <c r="B354" s="40">
        <f t="shared" si="25"/>
        <v>347</v>
      </c>
      <c r="C354" s="113">
        <f>IF(B354&lt;=MIN(Simulation!$F$10*12+Simulation!$F$12*OR(Simulation!$F$11="Amortissable différé partiel",Simulation!$F$11="Amortissable différé total"),Simulation!$F$24*12),IF(AND(B354&lt;=Simulation!$F$12,OR(Simulation!$F$11="Amortissable différé partiel",Simulation!$F$11="Amortissable différé total")),C353*(1+(Simulation!$F$11="Amortissable différé total")*Simulation!$F$8/12),C353-D354),0)</f>
        <v>0</v>
      </c>
      <c r="D354" s="114">
        <f>IF(B354&lt;=MIN(Simulation!$F$10*12+Simulation!$F$12*OR(Simulation!$F$11="Amortissable différé partiel",Simulation!$F$11="Amortissable différé total"),Simulation!$F$24*12),G354-E354,0)</f>
        <v>0</v>
      </c>
      <c r="E354" s="114">
        <f>IF(B354&lt;=MIN(Simulation!$F$10*12+Simulation!$F$12*OR(Simulation!$F$11="Amortissable différé partiel",Simulation!$F$11="Amortissable différé total"),Simulation!$F$24*12),IF(AND(B354&lt;=Simulation!$F$12,Simulation!$F$11="Amortissable différé total"),0,C353*Simulation!$F$8/12),0)</f>
        <v>0</v>
      </c>
      <c r="F354" s="114">
        <f>IF(B354&lt;=MIN(Simulation!$F$10*12+Simulation!$F$12*OR(Simulation!$F$11="Amortissable différé partiel",Simulation!$F$11="Amortissable différé total"),Simulation!$F$24*12),Simulation!$E$33*Simulation!$F$9/12,0)</f>
        <v>0</v>
      </c>
      <c r="G354" s="115">
        <f>IF(B354&lt;=MIN(Simulation!$F$10*12+Simulation!$F$12*OR(Simulation!$F$11="Amortissable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partiel",IF(B354&lt;=Simulation!$F$12,Simulation!$E$33*Simulation!$F$8/12,PMT(Simulation!$F$8/12,Simulation!$F$10*12,-Simulation!$E$34)),IF(Simulation!$F$11="Amortissable différé total",IF(B354&lt;=Simulation!$F$12,0,PMT(Simulation!$F$8/12,Simulation!$F$10*12,-Simulation!$E$34)),IF(Simulation!$F$11="In fine",IF(B354=Simulation!$F$10*12,Simulation!$E$34,Simulation!$F$8*Simulation!$E$34/12),0)))),0)</f>
        <v>0</v>
      </c>
      <c r="H354" s="113">
        <f>Simulation!$C$16/12*(1+Simulation!$F$15)^INT((B354-1)/12)*(B354&lt;=Simulation!$F$24*12)</f>
        <v>0</v>
      </c>
      <c r="I354" s="114">
        <f>(Simulation!$F$22-VLOOKUP(Simulation!$C$27,'Comparatif fiscal'!$B$8:$E$17,4,FALSE)-C354)*(B354=Simulation!$F$24*12)</f>
        <v>0</v>
      </c>
      <c r="J354" s="114">
        <f>(Simulation!$C$21+Simulation!$C$22)/12*(1+Simulation!$F$17)^INT((B354-1)/12)*(B354&lt;=Simulation!$F$24*12)</f>
        <v>0</v>
      </c>
      <c r="K354" s="114">
        <f>(H354*Simulation!$C$24+Simulation!$C$23/12*(1+Simulation!$F$15)^INT((B354-1)/12))*(B354&lt;=Simulation!$F$24*12)</f>
        <v>0</v>
      </c>
      <c r="L354" s="114">
        <f>Simulation!$C$19/12*(1+Simulation!$F$18)^INT((B354-1)/12)*(B354&lt;=Simulation!$F$24*12)</f>
        <v>0</v>
      </c>
      <c r="M354" s="114">
        <f>(Simulation!$C$20/12*(1+Simulation!$F$19)^INT((B354-1)/12)+F354)*(B354&lt;=Simulation!$F$24*12)</f>
        <v>0</v>
      </c>
      <c r="N354" s="114">
        <f ca="1">SUMIF('Détail fiscalité'!$B$8:$B$37,INT(B354/12),'Détail fiscalité'!$CI$8:$CI$37)/12+SUMIF('Détail fiscalité'!$B$8:$B$37,B354/12,'Détail fiscalité'!$CI$8:$CI$37)-SUMIF('Détail fiscalité'!$B$8:$B$37,B354/12-1,'Détail fiscalité'!$CI$8:$CI$37)</f>
        <v>0</v>
      </c>
      <c r="O354" s="116">
        <f t="shared" ca="1" si="26"/>
        <v>0</v>
      </c>
    </row>
    <row r="355" spans="2:15" x14ac:dyDescent="0.15">
      <c r="B355" s="40">
        <f t="shared" si="25"/>
        <v>348</v>
      </c>
      <c r="C355" s="113">
        <f>IF(B355&lt;=MIN(Simulation!$F$10*12+Simulation!$F$12*OR(Simulation!$F$11="Amortissable différé partiel",Simulation!$F$11="Amortissable différé total"),Simulation!$F$24*12),IF(AND(B355&lt;=Simulation!$F$12,OR(Simulation!$F$11="Amortissable différé partiel",Simulation!$F$11="Amortissable différé total")),C354*(1+(Simulation!$F$11="Amortissable différé total")*Simulation!$F$8/12),C354-D355),0)</f>
        <v>0</v>
      </c>
      <c r="D355" s="114">
        <f>IF(B355&lt;=MIN(Simulation!$F$10*12+Simulation!$F$12*OR(Simulation!$F$11="Amortissable différé partiel",Simulation!$F$11="Amortissable différé total"),Simulation!$F$24*12),G355-E355,0)</f>
        <v>0</v>
      </c>
      <c r="E355" s="114">
        <f>IF(B355&lt;=MIN(Simulation!$F$10*12+Simulation!$F$12*OR(Simulation!$F$11="Amortissable différé partiel",Simulation!$F$11="Amortissable différé total"),Simulation!$F$24*12),IF(AND(B355&lt;=Simulation!$F$12,Simulation!$F$11="Amortissable différé total"),0,C354*Simulation!$F$8/12),0)</f>
        <v>0</v>
      </c>
      <c r="F355" s="114">
        <f>IF(B355&lt;=MIN(Simulation!$F$10*12+Simulation!$F$12*OR(Simulation!$F$11="Amortissable différé partiel",Simulation!$F$11="Amortissable différé total"),Simulation!$F$24*12),Simulation!$E$33*Simulation!$F$9/12,0)</f>
        <v>0</v>
      </c>
      <c r="G355" s="115">
        <f>IF(B355&lt;=MIN(Simulation!$F$10*12+Simulation!$F$12*OR(Simulation!$F$11="Amortissable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partiel",IF(B355&lt;=Simulation!$F$12,Simulation!$E$33*Simulation!$F$8/12,PMT(Simulation!$F$8/12,Simulation!$F$10*12,-Simulation!$E$34)),IF(Simulation!$F$11="Amortissable différé total",IF(B355&lt;=Simulation!$F$12,0,PMT(Simulation!$F$8/12,Simulation!$F$10*12,-Simulation!$E$34)),IF(Simulation!$F$11="In fine",IF(B355=Simulation!$F$10*12,Simulation!$E$34,Simulation!$F$8*Simulation!$E$34/12),0)))),0)</f>
        <v>0</v>
      </c>
      <c r="H355" s="113">
        <f>Simulation!$C$16/12*(1+Simulation!$F$15)^INT((B355-1)/12)*(B355&lt;=Simulation!$F$24*12)</f>
        <v>0</v>
      </c>
      <c r="I355" s="114">
        <f>(Simulation!$F$22-VLOOKUP(Simulation!$C$27,'Comparatif fiscal'!$B$8:$E$17,4,FALSE)-C355)*(B355=Simulation!$F$24*12)</f>
        <v>0</v>
      </c>
      <c r="J355" s="114">
        <f>(Simulation!$C$21+Simulation!$C$22)/12*(1+Simulation!$F$17)^INT((B355-1)/12)*(B355&lt;=Simulation!$F$24*12)</f>
        <v>0</v>
      </c>
      <c r="K355" s="114">
        <f>(H355*Simulation!$C$24+Simulation!$C$23/12*(1+Simulation!$F$15)^INT((B355-1)/12))*(B355&lt;=Simulation!$F$24*12)</f>
        <v>0</v>
      </c>
      <c r="L355" s="114">
        <f>Simulation!$C$19/12*(1+Simulation!$F$18)^INT((B355-1)/12)*(B355&lt;=Simulation!$F$24*12)</f>
        <v>0</v>
      </c>
      <c r="M355" s="114">
        <f>(Simulation!$C$20/12*(1+Simulation!$F$19)^INT((B355-1)/12)+F355)*(B355&lt;=Simulation!$F$24*12)</f>
        <v>0</v>
      </c>
      <c r="N355" s="114">
        <f ca="1">SUMIF('Détail fiscalité'!$B$8:$B$37,INT(B355/12),'Détail fiscalité'!$CI$8:$CI$37)/12+SUMIF('Détail fiscalité'!$B$8:$B$37,B355/12,'Détail fiscalité'!$CI$8:$CI$37)-SUMIF('Détail fiscalité'!$B$8:$B$37,B355/12-1,'Détail fiscalité'!$CI$8:$CI$37)</f>
        <v>0</v>
      </c>
      <c r="O355" s="116">
        <f t="shared" ca="1" si="26"/>
        <v>0</v>
      </c>
    </row>
    <row r="356" spans="2:15" x14ac:dyDescent="0.15">
      <c r="B356" s="40">
        <f t="shared" si="25"/>
        <v>349</v>
      </c>
      <c r="C356" s="113">
        <f>IF(B356&lt;=MIN(Simulation!$F$10*12+Simulation!$F$12*OR(Simulation!$F$11="Amortissable différé partiel",Simulation!$F$11="Amortissable différé total"),Simulation!$F$24*12),IF(AND(B356&lt;=Simulation!$F$12,OR(Simulation!$F$11="Amortissable différé partiel",Simulation!$F$11="Amortissable différé total")),C355*(1+(Simulation!$F$11="Amortissable différé total")*Simulation!$F$8/12),C355-D356),0)</f>
        <v>0</v>
      </c>
      <c r="D356" s="114">
        <f>IF(B356&lt;=MIN(Simulation!$F$10*12+Simulation!$F$12*OR(Simulation!$F$11="Amortissable différé partiel",Simulation!$F$11="Amortissable différé total"),Simulation!$F$24*12),G356-E356,0)</f>
        <v>0</v>
      </c>
      <c r="E356" s="114">
        <f>IF(B356&lt;=MIN(Simulation!$F$10*12+Simulation!$F$12*OR(Simulation!$F$11="Amortissable différé partiel",Simulation!$F$11="Amortissable différé total"),Simulation!$F$24*12),IF(AND(B356&lt;=Simulation!$F$12,Simulation!$F$11="Amortissable différé total"),0,C355*Simulation!$F$8/12),0)</f>
        <v>0</v>
      </c>
      <c r="F356" s="114">
        <f>IF(B356&lt;=MIN(Simulation!$F$10*12+Simulation!$F$12*OR(Simulation!$F$11="Amortissable différé partiel",Simulation!$F$11="Amortissable différé total"),Simulation!$F$24*12),Simulation!$E$33*Simulation!$F$9/12,0)</f>
        <v>0</v>
      </c>
      <c r="G356" s="115">
        <f>IF(B356&lt;=MIN(Simulation!$F$10*12+Simulation!$F$12*OR(Simulation!$F$11="Amortissable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partiel",IF(B356&lt;=Simulation!$F$12,Simulation!$E$33*Simulation!$F$8/12,PMT(Simulation!$F$8/12,Simulation!$F$10*12,-Simulation!$E$34)),IF(Simulation!$F$11="Amortissable différé total",IF(B356&lt;=Simulation!$F$12,0,PMT(Simulation!$F$8/12,Simulation!$F$10*12,-Simulation!$E$34)),IF(Simulation!$F$11="In fine",IF(B356=Simulation!$F$10*12,Simulation!$E$34,Simulation!$F$8*Simulation!$E$34/12),0)))),0)</f>
        <v>0</v>
      </c>
      <c r="H356" s="113">
        <f>Simulation!$C$16/12*(1+Simulation!$F$15)^INT((B356-1)/12)*(B356&lt;=Simulation!$F$24*12)</f>
        <v>0</v>
      </c>
      <c r="I356" s="114">
        <f>(Simulation!$F$22-VLOOKUP(Simulation!$C$27,'Comparatif fiscal'!$B$8:$E$17,4,FALSE)-C356)*(B356=Simulation!$F$24*12)</f>
        <v>0</v>
      </c>
      <c r="J356" s="114">
        <f>(Simulation!$C$21+Simulation!$C$22)/12*(1+Simulation!$F$17)^INT((B356-1)/12)*(B356&lt;=Simulation!$F$24*12)</f>
        <v>0</v>
      </c>
      <c r="K356" s="114">
        <f>(H356*Simulation!$C$24+Simulation!$C$23/12*(1+Simulation!$F$15)^INT((B356-1)/12))*(B356&lt;=Simulation!$F$24*12)</f>
        <v>0</v>
      </c>
      <c r="L356" s="114">
        <f>Simulation!$C$19/12*(1+Simulation!$F$18)^INT((B356-1)/12)*(B356&lt;=Simulation!$F$24*12)</f>
        <v>0</v>
      </c>
      <c r="M356" s="114">
        <f>(Simulation!$C$20/12*(1+Simulation!$F$19)^INT((B356-1)/12)+F356)*(B356&lt;=Simulation!$F$24*12)</f>
        <v>0</v>
      </c>
      <c r="N356" s="114">
        <f ca="1">SUMIF('Détail fiscalité'!$B$8:$B$37,INT(B356/12),'Détail fiscalité'!$CI$8:$CI$37)/12+SUMIF('Détail fiscalité'!$B$8:$B$37,B356/12,'Détail fiscalité'!$CI$8:$CI$37)-SUMIF('Détail fiscalité'!$B$8:$B$37,B356/12-1,'Détail fiscalité'!$CI$8:$CI$37)</f>
        <v>0</v>
      </c>
      <c r="O356" s="116">
        <f t="shared" ca="1" si="26"/>
        <v>0</v>
      </c>
    </row>
    <row r="357" spans="2:15" x14ac:dyDescent="0.15">
      <c r="B357" s="40">
        <f t="shared" si="25"/>
        <v>350</v>
      </c>
      <c r="C357" s="113">
        <f>IF(B357&lt;=MIN(Simulation!$F$10*12+Simulation!$F$12*OR(Simulation!$F$11="Amortissable différé partiel",Simulation!$F$11="Amortissable différé total"),Simulation!$F$24*12),IF(AND(B357&lt;=Simulation!$F$12,OR(Simulation!$F$11="Amortissable différé partiel",Simulation!$F$11="Amortissable différé total")),C356*(1+(Simulation!$F$11="Amortissable différé total")*Simulation!$F$8/12),C356-D357),0)</f>
        <v>0</v>
      </c>
      <c r="D357" s="114">
        <f>IF(B357&lt;=MIN(Simulation!$F$10*12+Simulation!$F$12*OR(Simulation!$F$11="Amortissable différé partiel",Simulation!$F$11="Amortissable différé total"),Simulation!$F$24*12),G357-E357,0)</f>
        <v>0</v>
      </c>
      <c r="E357" s="114">
        <f>IF(B357&lt;=MIN(Simulation!$F$10*12+Simulation!$F$12*OR(Simulation!$F$11="Amortissable différé partiel",Simulation!$F$11="Amortissable différé total"),Simulation!$F$24*12),IF(AND(B357&lt;=Simulation!$F$12,Simulation!$F$11="Amortissable différé total"),0,C356*Simulation!$F$8/12),0)</f>
        <v>0</v>
      </c>
      <c r="F357" s="114">
        <f>IF(B357&lt;=MIN(Simulation!$F$10*12+Simulation!$F$12*OR(Simulation!$F$11="Amortissable différé partiel",Simulation!$F$11="Amortissable différé total"),Simulation!$F$24*12),Simulation!$E$33*Simulation!$F$9/12,0)</f>
        <v>0</v>
      </c>
      <c r="G357" s="115">
        <f>IF(B357&lt;=MIN(Simulation!$F$10*12+Simulation!$F$12*OR(Simulation!$F$11="Amortissable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partiel",IF(B357&lt;=Simulation!$F$12,Simulation!$E$33*Simulation!$F$8/12,PMT(Simulation!$F$8/12,Simulation!$F$10*12,-Simulation!$E$34)),IF(Simulation!$F$11="Amortissable différé total",IF(B357&lt;=Simulation!$F$12,0,PMT(Simulation!$F$8/12,Simulation!$F$10*12,-Simulation!$E$34)),IF(Simulation!$F$11="In fine",IF(B357=Simulation!$F$10*12,Simulation!$E$34,Simulation!$F$8*Simulation!$E$34/12),0)))),0)</f>
        <v>0</v>
      </c>
      <c r="H357" s="113">
        <f>Simulation!$C$16/12*(1+Simulation!$F$15)^INT((B357-1)/12)*(B357&lt;=Simulation!$F$24*12)</f>
        <v>0</v>
      </c>
      <c r="I357" s="114">
        <f>(Simulation!$F$22-VLOOKUP(Simulation!$C$27,'Comparatif fiscal'!$B$8:$E$17,4,FALSE)-C357)*(B357=Simulation!$F$24*12)</f>
        <v>0</v>
      </c>
      <c r="J357" s="114">
        <f>(Simulation!$C$21+Simulation!$C$22)/12*(1+Simulation!$F$17)^INT((B357-1)/12)*(B357&lt;=Simulation!$F$24*12)</f>
        <v>0</v>
      </c>
      <c r="K357" s="114">
        <f>(H357*Simulation!$C$24+Simulation!$C$23/12*(1+Simulation!$F$15)^INT((B357-1)/12))*(B357&lt;=Simulation!$F$24*12)</f>
        <v>0</v>
      </c>
      <c r="L357" s="114">
        <f>Simulation!$C$19/12*(1+Simulation!$F$18)^INT((B357-1)/12)*(B357&lt;=Simulation!$F$24*12)</f>
        <v>0</v>
      </c>
      <c r="M357" s="114">
        <f>(Simulation!$C$20/12*(1+Simulation!$F$19)^INT((B357-1)/12)+F357)*(B357&lt;=Simulation!$F$24*12)</f>
        <v>0</v>
      </c>
      <c r="N357" s="114">
        <f ca="1">SUMIF('Détail fiscalité'!$B$8:$B$37,INT(B357/12),'Détail fiscalité'!$CI$8:$CI$37)/12+SUMIF('Détail fiscalité'!$B$8:$B$37,B357/12,'Détail fiscalité'!$CI$8:$CI$37)-SUMIF('Détail fiscalité'!$B$8:$B$37,B357/12-1,'Détail fiscalité'!$CI$8:$CI$37)</f>
        <v>0</v>
      </c>
      <c r="O357" s="116">
        <f t="shared" ca="1" si="26"/>
        <v>0</v>
      </c>
    </row>
    <row r="358" spans="2:15" x14ac:dyDescent="0.15">
      <c r="B358" s="40">
        <f t="shared" si="25"/>
        <v>351</v>
      </c>
      <c r="C358" s="113">
        <f>IF(B358&lt;=MIN(Simulation!$F$10*12+Simulation!$F$12*OR(Simulation!$F$11="Amortissable différé partiel",Simulation!$F$11="Amortissable différé total"),Simulation!$F$24*12),IF(AND(B358&lt;=Simulation!$F$12,OR(Simulation!$F$11="Amortissable différé partiel",Simulation!$F$11="Amortissable différé total")),C357*(1+(Simulation!$F$11="Amortissable différé total")*Simulation!$F$8/12),C357-D358),0)</f>
        <v>0</v>
      </c>
      <c r="D358" s="114">
        <f>IF(B358&lt;=MIN(Simulation!$F$10*12+Simulation!$F$12*OR(Simulation!$F$11="Amortissable différé partiel",Simulation!$F$11="Amortissable différé total"),Simulation!$F$24*12),G358-E358,0)</f>
        <v>0</v>
      </c>
      <c r="E358" s="114">
        <f>IF(B358&lt;=MIN(Simulation!$F$10*12+Simulation!$F$12*OR(Simulation!$F$11="Amortissable différé partiel",Simulation!$F$11="Amortissable différé total"),Simulation!$F$24*12),IF(AND(B358&lt;=Simulation!$F$12,Simulation!$F$11="Amortissable différé total"),0,C357*Simulation!$F$8/12),0)</f>
        <v>0</v>
      </c>
      <c r="F358" s="114">
        <f>IF(B358&lt;=MIN(Simulation!$F$10*12+Simulation!$F$12*OR(Simulation!$F$11="Amortissable différé partiel",Simulation!$F$11="Amortissable différé total"),Simulation!$F$24*12),Simulation!$E$33*Simulation!$F$9/12,0)</f>
        <v>0</v>
      </c>
      <c r="G358" s="115">
        <f>IF(B358&lt;=MIN(Simulation!$F$10*12+Simulation!$F$12*OR(Simulation!$F$11="Amortissable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partiel",IF(B358&lt;=Simulation!$F$12,Simulation!$E$33*Simulation!$F$8/12,PMT(Simulation!$F$8/12,Simulation!$F$10*12,-Simulation!$E$34)),IF(Simulation!$F$11="Amortissable différé total",IF(B358&lt;=Simulation!$F$12,0,PMT(Simulation!$F$8/12,Simulation!$F$10*12,-Simulation!$E$34)),IF(Simulation!$F$11="In fine",IF(B358=Simulation!$F$10*12,Simulation!$E$34,Simulation!$F$8*Simulation!$E$34/12),0)))),0)</f>
        <v>0</v>
      </c>
      <c r="H358" s="113">
        <f>Simulation!$C$16/12*(1+Simulation!$F$15)^INT((B358-1)/12)*(B358&lt;=Simulation!$F$24*12)</f>
        <v>0</v>
      </c>
      <c r="I358" s="114">
        <f>(Simulation!$F$22-VLOOKUP(Simulation!$C$27,'Comparatif fiscal'!$B$8:$E$17,4,FALSE)-C358)*(B358=Simulation!$F$24*12)</f>
        <v>0</v>
      </c>
      <c r="J358" s="114">
        <f>(Simulation!$C$21+Simulation!$C$22)/12*(1+Simulation!$F$17)^INT((B358-1)/12)*(B358&lt;=Simulation!$F$24*12)</f>
        <v>0</v>
      </c>
      <c r="K358" s="114">
        <f>(H358*Simulation!$C$24+Simulation!$C$23/12*(1+Simulation!$F$15)^INT((B358-1)/12))*(B358&lt;=Simulation!$F$24*12)</f>
        <v>0</v>
      </c>
      <c r="L358" s="114">
        <f>Simulation!$C$19/12*(1+Simulation!$F$18)^INT((B358-1)/12)*(B358&lt;=Simulation!$F$24*12)</f>
        <v>0</v>
      </c>
      <c r="M358" s="114">
        <f>(Simulation!$C$20/12*(1+Simulation!$F$19)^INT((B358-1)/12)+F358)*(B358&lt;=Simulation!$F$24*12)</f>
        <v>0</v>
      </c>
      <c r="N358" s="114">
        <f ca="1">SUMIF('Détail fiscalité'!$B$8:$B$37,INT(B358/12),'Détail fiscalité'!$CI$8:$CI$37)/12+SUMIF('Détail fiscalité'!$B$8:$B$37,B358/12,'Détail fiscalité'!$CI$8:$CI$37)-SUMIF('Détail fiscalité'!$B$8:$B$37,B358/12-1,'Détail fiscalité'!$CI$8:$CI$37)</f>
        <v>0</v>
      </c>
      <c r="O358" s="116">
        <f t="shared" ca="1" si="26"/>
        <v>0</v>
      </c>
    </row>
    <row r="359" spans="2:15" x14ac:dyDescent="0.15">
      <c r="B359" s="40">
        <f t="shared" si="25"/>
        <v>352</v>
      </c>
      <c r="C359" s="113">
        <f>IF(B359&lt;=MIN(Simulation!$F$10*12+Simulation!$F$12*OR(Simulation!$F$11="Amortissable différé partiel",Simulation!$F$11="Amortissable différé total"),Simulation!$F$24*12),IF(AND(B359&lt;=Simulation!$F$12,OR(Simulation!$F$11="Amortissable différé partiel",Simulation!$F$11="Amortissable différé total")),C358*(1+(Simulation!$F$11="Amortissable différé total")*Simulation!$F$8/12),C358-D359),0)</f>
        <v>0</v>
      </c>
      <c r="D359" s="114">
        <f>IF(B359&lt;=MIN(Simulation!$F$10*12+Simulation!$F$12*OR(Simulation!$F$11="Amortissable différé partiel",Simulation!$F$11="Amortissable différé total"),Simulation!$F$24*12),G359-E359,0)</f>
        <v>0</v>
      </c>
      <c r="E359" s="114">
        <f>IF(B359&lt;=MIN(Simulation!$F$10*12+Simulation!$F$12*OR(Simulation!$F$11="Amortissable différé partiel",Simulation!$F$11="Amortissable différé total"),Simulation!$F$24*12),IF(AND(B359&lt;=Simulation!$F$12,Simulation!$F$11="Amortissable différé total"),0,C358*Simulation!$F$8/12),0)</f>
        <v>0</v>
      </c>
      <c r="F359" s="114">
        <f>IF(B359&lt;=MIN(Simulation!$F$10*12+Simulation!$F$12*OR(Simulation!$F$11="Amortissable différé partiel",Simulation!$F$11="Amortissable différé total"),Simulation!$F$24*12),Simulation!$E$33*Simulation!$F$9/12,0)</f>
        <v>0</v>
      </c>
      <c r="G359" s="115">
        <f>IF(B359&lt;=MIN(Simulation!$F$10*12+Simulation!$F$12*OR(Simulation!$F$11="Amortissable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partiel",IF(B359&lt;=Simulation!$F$12,Simulation!$E$33*Simulation!$F$8/12,PMT(Simulation!$F$8/12,Simulation!$F$10*12,-Simulation!$E$34)),IF(Simulation!$F$11="Amortissable différé total",IF(B359&lt;=Simulation!$F$12,0,PMT(Simulation!$F$8/12,Simulation!$F$10*12,-Simulation!$E$34)),IF(Simulation!$F$11="In fine",IF(B359=Simulation!$F$10*12,Simulation!$E$34,Simulation!$F$8*Simulation!$E$34/12),0)))),0)</f>
        <v>0</v>
      </c>
      <c r="H359" s="113">
        <f>Simulation!$C$16/12*(1+Simulation!$F$15)^INT((B359-1)/12)*(B359&lt;=Simulation!$F$24*12)</f>
        <v>0</v>
      </c>
      <c r="I359" s="114">
        <f>(Simulation!$F$22-VLOOKUP(Simulation!$C$27,'Comparatif fiscal'!$B$8:$E$17,4,FALSE)-C359)*(B359=Simulation!$F$24*12)</f>
        <v>0</v>
      </c>
      <c r="J359" s="114">
        <f>(Simulation!$C$21+Simulation!$C$22)/12*(1+Simulation!$F$17)^INT((B359-1)/12)*(B359&lt;=Simulation!$F$24*12)</f>
        <v>0</v>
      </c>
      <c r="K359" s="114">
        <f>(H359*Simulation!$C$24+Simulation!$C$23/12*(1+Simulation!$F$15)^INT((B359-1)/12))*(B359&lt;=Simulation!$F$24*12)</f>
        <v>0</v>
      </c>
      <c r="L359" s="114">
        <f>Simulation!$C$19/12*(1+Simulation!$F$18)^INT((B359-1)/12)*(B359&lt;=Simulation!$F$24*12)</f>
        <v>0</v>
      </c>
      <c r="M359" s="114">
        <f>(Simulation!$C$20/12*(1+Simulation!$F$19)^INT((B359-1)/12)+F359)*(B359&lt;=Simulation!$F$24*12)</f>
        <v>0</v>
      </c>
      <c r="N359" s="114">
        <f ca="1">SUMIF('Détail fiscalité'!$B$8:$B$37,INT(B359/12),'Détail fiscalité'!$CI$8:$CI$37)/12+SUMIF('Détail fiscalité'!$B$8:$B$37,B359/12,'Détail fiscalité'!$CI$8:$CI$37)-SUMIF('Détail fiscalité'!$B$8:$B$37,B359/12-1,'Détail fiscalité'!$CI$8:$CI$37)</f>
        <v>0</v>
      </c>
      <c r="O359" s="116">
        <f t="shared" ca="1" si="26"/>
        <v>0</v>
      </c>
    </row>
    <row r="360" spans="2:15" x14ac:dyDescent="0.15">
      <c r="B360" s="40">
        <f t="shared" si="25"/>
        <v>353</v>
      </c>
      <c r="C360" s="113">
        <f>IF(B360&lt;=MIN(Simulation!$F$10*12+Simulation!$F$12*OR(Simulation!$F$11="Amortissable différé partiel",Simulation!$F$11="Amortissable différé total"),Simulation!$F$24*12),IF(AND(B360&lt;=Simulation!$F$12,OR(Simulation!$F$11="Amortissable différé partiel",Simulation!$F$11="Amortissable différé total")),C359*(1+(Simulation!$F$11="Amortissable différé total")*Simulation!$F$8/12),C359-D360),0)</f>
        <v>0</v>
      </c>
      <c r="D360" s="114">
        <f>IF(B360&lt;=MIN(Simulation!$F$10*12+Simulation!$F$12*OR(Simulation!$F$11="Amortissable différé partiel",Simulation!$F$11="Amortissable différé total"),Simulation!$F$24*12),G360-E360,0)</f>
        <v>0</v>
      </c>
      <c r="E360" s="114">
        <f>IF(B360&lt;=MIN(Simulation!$F$10*12+Simulation!$F$12*OR(Simulation!$F$11="Amortissable différé partiel",Simulation!$F$11="Amortissable différé total"),Simulation!$F$24*12),IF(AND(B360&lt;=Simulation!$F$12,Simulation!$F$11="Amortissable différé total"),0,C359*Simulation!$F$8/12),0)</f>
        <v>0</v>
      </c>
      <c r="F360" s="114">
        <f>IF(B360&lt;=MIN(Simulation!$F$10*12+Simulation!$F$12*OR(Simulation!$F$11="Amortissable différé partiel",Simulation!$F$11="Amortissable différé total"),Simulation!$F$24*12),Simulation!$E$33*Simulation!$F$9/12,0)</f>
        <v>0</v>
      </c>
      <c r="G360" s="115">
        <f>IF(B360&lt;=MIN(Simulation!$F$10*12+Simulation!$F$12*OR(Simulation!$F$11="Amortissable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partiel",IF(B360&lt;=Simulation!$F$12,Simulation!$E$33*Simulation!$F$8/12,PMT(Simulation!$F$8/12,Simulation!$F$10*12,-Simulation!$E$34)),IF(Simulation!$F$11="Amortissable différé total",IF(B360&lt;=Simulation!$F$12,0,PMT(Simulation!$F$8/12,Simulation!$F$10*12,-Simulation!$E$34)),IF(Simulation!$F$11="In fine",IF(B360=Simulation!$F$10*12,Simulation!$E$34,Simulation!$F$8*Simulation!$E$34/12),0)))),0)</f>
        <v>0</v>
      </c>
      <c r="H360" s="113">
        <f>Simulation!$C$16/12*(1+Simulation!$F$15)^INT((B360-1)/12)*(B360&lt;=Simulation!$F$24*12)</f>
        <v>0</v>
      </c>
      <c r="I360" s="114">
        <f>(Simulation!$F$22-VLOOKUP(Simulation!$C$27,'Comparatif fiscal'!$B$8:$E$17,4,FALSE)-C360)*(B360=Simulation!$F$24*12)</f>
        <v>0</v>
      </c>
      <c r="J360" s="114">
        <f>(Simulation!$C$21+Simulation!$C$22)/12*(1+Simulation!$F$17)^INT((B360-1)/12)*(B360&lt;=Simulation!$F$24*12)</f>
        <v>0</v>
      </c>
      <c r="K360" s="114">
        <f>(H360*Simulation!$C$24+Simulation!$C$23/12*(1+Simulation!$F$15)^INT((B360-1)/12))*(B360&lt;=Simulation!$F$24*12)</f>
        <v>0</v>
      </c>
      <c r="L360" s="114">
        <f>Simulation!$C$19/12*(1+Simulation!$F$18)^INT((B360-1)/12)*(B360&lt;=Simulation!$F$24*12)</f>
        <v>0</v>
      </c>
      <c r="M360" s="114">
        <f>(Simulation!$C$20/12*(1+Simulation!$F$19)^INT((B360-1)/12)+F360)*(B360&lt;=Simulation!$F$24*12)</f>
        <v>0</v>
      </c>
      <c r="N360" s="114">
        <f ca="1">SUMIF('Détail fiscalité'!$B$8:$B$37,INT(B360/12),'Détail fiscalité'!$CI$8:$CI$37)/12+SUMIF('Détail fiscalité'!$B$8:$B$37,B360/12,'Détail fiscalité'!$CI$8:$CI$37)-SUMIF('Détail fiscalité'!$B$8:$B$37,B360/12-1,'Détail fiscalité'!$CI$8:$CI$37)</f>
        <v>0</v>
      </c>
      <c r="O360" s="116">
        <f t="shared" ca="1" si="26"/>
        <v>0</v>
      </c>
    </row>
    <row r="361" spans="2:15" x14ac:dyDescent="0.15">
      <c r="B361" s="40">
        <f t="shared" si="25"/>
        <v>354</v>
      </c>
      <c r="C361" s="113">
        <f>IF(B361&lt;=MIN(Simulation!$F$10*12+Simulation!$F$12*OR(Simulation!$F$11="Amortissable différé partiel",Simulation!$F$11="Amortissable différé total"),Simulation!$F$24*12),IF(AND(B361&lt;=Simulation!$F$12,OR(Simulation!$F$11="Amortissable différé partiel",Simulation!$F$11="Amortissable différé total")),C360*(1+(Simulation!$F$11="Amortissable différé total")*Simulation!$F$8/12),C360-D361),0)</f>
        <v>0</v>
      </c>
      <c r="D361" s="114">
        <f>IF(B361&lt;=MIN(Simulation!$F$10*12+Simulation!$F$12*OR(Simulation!$F$11="Amortissable différé partiel",Simulation!$F$11="Amortissable différé total"),Simulation!$F$24*12),G361-E361,0)</f>
        <v>0</v>
      </c>
      <c r="E361" s="114">
        <f>IF(B361&lt;=MIN(Simulation!$F$10*12+Simulation!$F$12*OR(Simulation!$F$11="Amortissable différé partiel",Simulation!$F$11="Amortissable différé total"),Simulation!$F$24*12),IF(AND(B361&lt;=Simulation!$F$12,Simulation!$F$11="Amortissable différé total"),0,C360*Simulation!$F$8/12),0)</f>
        <v>0</v>
      </c>
      <c r="F361" s="114">
        <f>IF(B361&lt;=MIN(Simulation!$F$10*12+Simulation!$F$12*OR(Simulation!$F$11="Amortissable différé partiel",Simulation!$F$11="Amortissable différé total"),Simulation!$F$24*12),Simulation!$E$33*Simulation!$F$9/12,0)</f>
        <v>0</v>
      </c>
      <c r="G361" s="115">
        <f>IF(B361&lt;=MIN(Simulation!$F$10*12+Simulation!$F$12*OR(Simulation!$F$11="Amortissable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partiel",IF(B361&lt;=Simulation!$F$12,Simulation!$E$33*Simulation!$F$8/12,PMT(Simulation!$F$8/12,Simulation!$F$10*12,-Simulation!$E$34)),IF(Simulation!$F$11="Amortissable différé total",IF(B361&lt;=Simulation!$F$12,0,PMT(Simulation!$F$8/12,Simulation!$F$10*12,-Simulation!$E$34)),IF(Simulation!$F$11="In fine",IF(B361=Simulation!$F$10*12,Simulation!$E$34,Simulation!$F$8*Simulation!$E$34/12),0)))),0)</f>
        <v>0</v>
      </c>
      <c r="H361" s="113">
        <f>Simulation!$C$16/12*(1+Simulation!$F$15)^INT((B361-1)/12)*(B361&lt;=Simulation!$F$24*12)</f>
        <v>0</v>
      </c>
      <c r="I361" s="114">
        <f>(Simulation!$F$22-VLOOKUP(Simulation!$C$27,'Comparatif fiscal'!$B$8:$E$17,4,FALSE)-C361)*(B361=Simulation!$F$24*12)</f>
        <v>0</v>
      </c>
      <c r="J361" s="114">
        <f>(Simulation!$C$21+Simulation!$C$22)/12*(1+Simulation!$F$17)^INT((B361-1)/12)*(B361&lt;=Simulation!$F$24*12)</f>
        <v>0</v>
      </c>
      <c r="K361" s="114">
        <f>(H361*Simulation!$C$24+Simulation!$C$23/12*(1+Simulation!$F$15)^INT((B361-1)/12))*(B361&lt;=Simulation!$F$24*12)</f>
        <v>0</v>
      </c>
      <c r="L361" s="114">
        <f>Simulation!$C$19/12*(1+Simulation!$F$18)^INT((B361-1)/12)*(B361&lt;=Simulation!$F$24*12)</f>
        <v>0</v>
      </c>
      <c r="M361" s="114">
        <f>(Simulation!$C$20/12*(1+Simulation!$F$19)^INT((B361-1)/12)+F361)*(B361&lt;=Simulation!$F$24*12)</f>
        <v>0</v>
      </c>
      <c r="N361" s="114">
        <f ca="1">SUMIF('Détail fiscalité'!$B$8:$B$37,INT(B361/12),'Détail fiscalité'!$CI$8:$CI$37)/12+SUMIF('Détail fiscalité'!$B$8:$B$37,B361/12,'Détail fiscalité'!$CI$8:$CI$37)-SUMIF('Détail fiscalité'!$B$8:$B$37,B361/12-1,'Détail fiscalité'!$CI$8:$CI$37)</f>
        <v>0</v>
      </c>
      <c r="O361" s="116">
        <f t="shared" ca="1" si="26"/>
        <v>0</v>
      </c>
    </row>
    <row r="362" spans="2:15" x14ac:dyDescent="0.15">
      <c r="B362" s="40">
        <f t="shared" si="25"/>
        <v>355</v>
      </c>
      <c r="C362" s="113">
        <f>IF(B362&lt;=MIN(Simulation!$F$10*12+Simulation!$F$12*OR(Simulation!$F$11="Amortissable différé partiel",Simulation!$F$11="Amortissable différé total"),Simulation!$F$24*12),IF(AND(B362&lt;=Simulation!$F$12,OR(Simulation!$F$11="Amortissable différé partiel",Simulation!$F$11="Amortissable différé total")),C361*(1+(Simulation!$F$11="Amortissable différé total")*Simulation!$F$8/12),C361-D362),0)</f>
        <v>0</v>
      </c>
      <c r="D362" s="114">
        <f>IF(B362&lt;=MIN(Simulation!$F$10*12+Simulation!$F$12*OR(Simulation!$F$11="Amortissable différé partiel",Simulation!$F$11="Amortissable différé total"),Simulation!$F$24*12),G362-E362,0)</f>
        <v>0</v>
      </c>
      <c r="E362" s="114">
        <f>IF(B362&lt;=MIN(Simulation!$F$10*12+Simulation!$F$12*OR(Simulation!$F$11="Amortissable différé partiel",Simulation!$F$11="Amortissable différé total"),Simulation!$F$24*12),IF(AND(B362&lt;=Simulation!$F$12,Simulation!$F$11="Amortissable différé total"),0,C361*Simulation!$F$8/12),0)</f>
        <v>0</v>
      </c>
      <c r="F362" s="114">
        <f>IF(B362&lt;=MIN(Simulation!$F$10*12+Simulation!$F$12*OR(Simulation!$F$11="Amortissable différé partiel",Simulation!$F$11="Amortissable différé total"),Simulation!$F$24*12),Simulation!$E$33*Simulation!$F$9/12,0)</f>
        <v>0</v>
      </c>
      <c r="G362" s="115">
        <f>IF(B362&lt;=MIN(Simulation!$F$10*12+Simulation!$F$12*OR(Simulation!$F$11="Amortissable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partiel",IF(B362&lt;=Simulation!$F$12,Simulation!$E$33*Simulation!$F$8/12,PMT(Simulation!$F$8/12,Simulation!$F$10*12,-Simulation!$E$34)),IF(Simulation!$F$11="Amortissable différé total",IF(B362&lt;=Simulation!$F$12,0,PMT(Simulation!$F$8/12,Simulation!$F$10*12,-Simulation!$E$34)),IF(Simulation!$F$11="In fine",IF(B362=Simulation!$F$10*12,Simulation!$E$34,Simulation!$F$8*Simulation!$E$34/12),0)))),0)</f>
        <v>0</v>
      </c>
      <c r="H362" s="113">
        <f>Simulation!$C$16/12*(1+Simulation!$F$15)^INT((B362-1)/12)*(B362&lt;=Simulation!$F$24*12)</f>
        <v>0</v>
      </c>
      <c r="I362" s="114">
        <f>(Simulation!$F$22-VLOOKUP(Simulation!$C$27,'Comparatif fiscal'!$B$8:$E$17,4,FALSE)-C362)*(B362=Simulation!$F$24*12)</f>
        <v>0</v>
      </c>
      <c r="J362" s="114">
        <f>(Simulation!$C$21+Simulation!$C$22)/12*(1+Simulation!$F$17)^INT((B362-1)/12)*(B362&lt;=Simulation!$F$24*12)</f>
        <v>0</v>
      </c>
      <c r="K362" s="114">
        <f>(H362*Simulation!$C$24+Simulation!$C$23/12*(1+Simulation!$F$15)^INT((B362-1)/12))*(B362&lt;=Simulation!$F$24*12)</f>
        <v>0</v>
      </c>
      <c r="L362" s="114">
        <f>Simulation!$C$19/12*(1+Simulation!$F$18)^INT((B362-1)/12)*(B362&lt;=Simulation!$F$24*12)</f>
        <v>0</v>
      </c>
      <c r="M362" s="114">
        <f>(Simulation!$C$20/12*(1+Simulation!$F$19)^INT((B362-1)/12)+F362)*(B362&lt;=Simulation!$F$24*12)</f>
        <v>0</v>
      </c>
      <c r="N362" s="114">
        <f ca="1">SUMIF('Détail fiscalité'!$B$8:$B$37,INT(B362/12),'Détail fiscalité'!$CI$8:$CI$37)/12+SUMIF('Détail fiscalité'!$B$8:$B$37,B362/12,'Détail fiscalité'!$CI$8:$CI$37)-SUMIF('Détail fiscalité'!$B$8:$B$37,B362/12-1,'Détail fiscalité'!$CI$8:$CI$37)</f>
        <v>0</v>
      </c>
      <c r="O362" s="116">
        <f t="shared" ca="1" si="26"/>
        <v>0</v>
      </c>
    </row>
    <row r="363" spans="2:15" x14ac:dyDescent="0.15">
      <c r="B363" s="40">
        <f t="shared" si="25"/>
        <v>356</v>
      </c>
      <c r="C363" s="113">
        <f>IF(B363&lt;=MIN(Simulation!$F$10*12+Simulation!$F$12*OR(Simulation!$F$11="Amortissable différé partiel",Simulation!$F$11="Amortissable différé total"),Simulation!$F$24*12),IF(AND(B363&lt;=Simulation!$F$12,OR(Simulation!$F$11="Amortissable différé partiel",Simulation!$F$11="Amortissable différé total")),C362*(1+(Simulation!$F$11="Amortissable différé total")*Simulation!$F$8/12),C362-D363),0)</f>
        <v>0</v>
      </c>
      <c r="D363" s="114">
        <f>IF(B363&lt;=MIN(Simulation!$F$10*12+Simulation!$F$12*OR(Simulation!$F$11="Amortissable différé partiel",Simulation!$F$11="Amortissable différé total"),Simulation!$F$24*12),G363-E363,0)</f>
        <v>0</v>
      </c>
      <c r="E363" s="114">
        <f>IF(B363&lt;=MIN(Simulation!$F$10*12+Simulation!$F$12*OR(Simulation!$F$11="Amortissable différé partiel",Simulation!$F$11="Amortissable différé total"),Simulation!$F$24*12),IF(AND(B363&lt;=Simulation!$F$12,Simulation!$F$11="Amortissable différé total"),0,C362*Simulation!$F$8/12),0)</f>
        <v>0</v>
      </c>
      <c r="F363" s="114">
        <f>IF(B363&lt;=MIN(Simulation!$F$10*12+Simulation!$F$12*OR(Simulation!$F$11="Amortissable différé partiel",Simulation!$F$11="Amortissable différé total"),Simulation!$F$24*12),Simulation!$E$33*Simulation!$F$9/12,0)</f>
        <v>0</v>
      </c>
      <c r="G363" s="115">
        <f>IF(B363&lt;=MIN(Simulation!$F$10*12+Simulation!$F$12*OR(Simulation!$F$11="Amortissable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partiel",IF(B363&lt;=Simulation!$F$12,Simulation!$E$33*Simulation!$F$8/12,PMT(Simulation!$F$8/12,Simulation!$F$10*12,-Simulation!$E$34)),IF(Simulation!$F$11="Amortissable différé total",IF(B363&lt;=Simulation!$F$12,0,PMT(Simulation!$F$8/12,Simulation!$F$10*12,-Simulation!$E$34)),IF(Simulation!$F$11="In fine",IF(B363=Simulation!$F$10*12,Simulation!$E$34,Simulation!$F$8*Simulation!$E$34/12),0)))),0)</f>
        <v>0</v>
      </c>
      <c r="H363" s="113">
        <f>Simulation!$C$16/12*(1+Simulation!$F$15)^INT((B363-1)/12)*(B363&lt;=Simulation!$F$24*12)</f>
        <v>0</v>
      </c>
      <c r="I363" s="114">
        <f>(Simulation!$F$22-VLOOKUP(Simulation!$C$27,'Comparatif fiscal'!$B$8:$E$17,4,FALSE)-C363)*(B363=Simulation!$F$24*12)</f>
        <v>0</v>
      </c>
      <c r="J363" s="114">
        <f>(Simulation!$C$21+Simulation!$C$22)/12*(1+Simulation!$F$17)^INT((B363-1)/12)*(B363&lt;=Simulation!$F$24*12)</f>
        <v>0</v>
      </c>
      <c r="K363" s="114">
        <f>(H363*Simulation!$C$24+Simulation!$C$23/12*(1+Simulation!$F$15)^INT((B363-1)/12))*(B363&lt;=Simulation!$F$24*12)</f>
        <v>0</v>
      </c>
      <c r="L363" s="114">
        <f>Simulation!$C$19/12*(1+Simulation!$F$18)^INT((B363-1)/12)*(B363&lt;=Simulation!$F$24*12)</f>
        <v>0</v>
      </c>
      <c r="M363" s="114">
        <f>(Simulation!$C$20/12*(1+Simulation!$F$19)^INT((B363-1)/12)+F363)*(B363&lt;=Simulation!$F$24*12)</f>
        <v>0</v>
      </c>
      <c r="N363" s="114">
        <f ca="1">SUMIF('Détail fiscalité'!$B$8:$B$37,INT(B363/12),'Détail fiscalité'!$CI$8:$CI$37)/12+SUMIF('Détail fiscalité'!$B$8:$B$37,B363/12,'Détail fiscalité'!$CI$8:$CI$37)-SUMIF('Détail fiscalité'!$B$8:$B$37,B363/12-1,'Détail fiscalité'!$CI$8:$CI$37)</f>
        <v>0</v>
      </c>
      <c r="O363" s="116">
        <f t="shared" ca="1" si="26"/>
        <v>0</v>
      </c>
    </row>
    <row r="364" spans="2:15" x14ac:dyDescent="0.15">
      <c r="B364" s="40">
        <f t="shared" si="25"/>
        <v>357</v>
      </c>
      <c r="C364" s="113">
        <f>IF(B364&lt;=MIN(Simulation!$F$10*12+Simulation!$F$12*OR(Simulation!$F$11="Amortissable différé partiel",Simulation!$F$11="Amortissable différé total"),Simulation!$F$24*12),IF(AND(B364&lt;=Simulation!$F$12,OR(Simulation!$F$11="Amortissable différé partiel",Simulation!$F$11="Amortissable différé total")),C363*(1+(Simulation!$F$11="Amortissable différé total")*Simulation!$F$8/12),C363-D364),0)</f>
        <v>0</v>
      </c>
      <c r="D364" s="114">
        <f>IF(B364&lt;=MIN(Simulation!$F$10*12+Simulation!$F$12*OR(Simulation!$F$11="Amortissable différé partiel",Simulation!$F$11="Amortissable différé total"),Simulation!$F$24*12),G364-E364,0)</f>
        <v>0</v>
      </c>
      <c r="E364" s="114">
        <f>IF(B364&lt;=MIN(Simulation!$F$10*12+Simulation!$F$12*OR(Simulation!$F$11="Amortissable différé partiel",Simulation!$F$11="Amortissable différé total"),Simulation!$F$24*12),IF(AND(B364&lt;=Simulation!$F$12,Simulation!$F$11="Amortissable différé total"),0,C363*Simulation!$F$8/12),0)</f>
        <v>0</v>
      </c>
      <c r="F364" s="114">
        <f>IF(B364&lt;=MIN(Simulation!$F$10*12+Simulation!$F$12*OR(Simulation!$F$11="Amortissable différé partiel",Simulation!$F$11="Amortissable différé total"),Simulation!$F$24*12),Simulation!$E$33*Simulation!$F$9/12,0)</f>
        <v>0</v>
      </c>
      <c r="G364" s="115">
        <f>IF(B364&lt;=MIN(Simulation!$F$10*12+Simulation!$F$12*OR(Simulation!$F$11="Amortissable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partiel",IF(B364&lt;=Simulation!$F$12,Simulation!$E$33*Simulation!$F$8/12,PMT(Simulation!$F$8/12,Simulation!$F$10*12,-Simulation!$E$34)),IF(Simulation!$F$11="Amortissable différé total",IF(B364&lt;=Simulation!$F$12,0,PMT(Simulation!$F$8/12,Simulation!$F$10*12,-Simulation!$E$34)),IF(Simulation!$F$11="In fine",IF(B364=Simulation!$F$10*12,Simulation!$E$34,Simulation!$F$8*Simulation!$E$34/12),0)))),0)</f>
        <v>0</v>
      </c>
      <c r="H364" s="113">
        <f>Simulation!$C$16/12*(1+Simulation!$F$15)^INT((B364-1)/12)*(B364&lt;=Simulation!$F$24*12)</f>
        <v>0</v>
      </c>
      <c r="I364" s="114">
        <f>(Simulation!$F$22-VLOOKUP(Simulation!$C$27,'Comparatif fiscal'!$B$8:$E$17,4,FALSE)-C364)*(B364=Simulation!$F$24*12)</f>
        <v>0</v>
      </c>
      <c r="J364" s="114">
        <f>(Simulation!$C$21+Simulation!$C$22)/12*(1+Simulation!$F$17)^INT((B364-1)/12)*(B364&lt;=Simulation!$F$24*12)</f>
        <v>0</v>
      </c>
      <c r="K364" s="114">
        <f>(H364*Simulation!$C$24+Simulation!$C$23/12*(1+Simulation!$F$15)^INT((B364-1)/12))*(B364&lt;=Simulation!$F$24*12)</f>
        <v>0</v>
      </c>
      <c r="L364" s="114">
        <f>Simulation!$C$19/12*(1+Simulation!$F$18)^INT((B364-1)/12)*(B364&lt;=Simulation!$F$24*12)</f>
        <v>0</v>
      </c>
      <c r="M364" s="114">
        <f>(Simulation!$C$20/12*(1+Simulation!$F$19)^INT((B364-1)/12)+F364)*(B364&lt;=Simulation!$F$24*12)</f>
        <v>0</v>
      </c>
      <c r="N364" s="114">
        <f ca="1">SUMIF('Détail fiscalité'!$B$8:$B$37,INT(B364/12),'Détail fiscalité'!$CI$8:$CI$37)/12+SUMIF('Détail fiscalité'!$B$8:$B$37,B364/12,'Détail fiscalité'!$CI$8:$CI$37)-SUMIF('Détail fiscalité'!$B$8:$B$37,B364/12-1,'Détail fiscalité'!$CI$8:$CI$37)</f>
        <v>0</v>
      </c>
      <c r="O364" s="116">
        <f t="shared" ca="1" si="26"/>
        <v>0</v>
      </c>
    </row>
    <row r="365" spans="2:15" x14ac:dyDescent="0.15">
      <c r="B365" s="40">
        <f t="shared" si="25"/>
        <v>358</v>
      </c>
      <c r="C365" s="113">
        <f>IF(B365&lt;=MIN(Simulation!$F$10*12+Simulation!$F$12*OR(Simulation!$F$11="Amortissable différé partiel",Simulation!$F$11="Amortissable différé total"),Simulation!$F$24*12),IF(AND(B365&lt;=Simulation!$F$12,OR(Simulation!$F$11="Amortissable différé partiel",Simulation!$F$11="Amortissable différé total")),C364*(1+(Simulation!$F$11="Amortissable différé total")*Simulation!$F$8/12),C364-D365),0)</f>
        <v>0</v>
      </c>
      <c r="D365" s="114">
        <f>IF(B365&lt;=MIN(Simulation!$F$10*12+Simulation!$F$12*OR(Simulation!$F$11="Amortissable différé partiel",Simulation!$F$11="Amortissable différé total"),Simulation!$F$24*12),G365-E365,0)</f>
        <v>0</v>
      </c>
      <c r="E365" s="114">
        <f>IF(B365&lt;=MIN(Simulation!$F$10*12+Simulation!$F$12*OR(Simulation!$F$11="Amortissable différé partiel",Simulation!$F$11="Amortissable différé total"),Simulation!$F$24*12),IF(AND(B365&lt;=Simulation!$F$12,Simulation!$F$11="Amortissable différé total"),0,C364*Simulation!$F$8/12),0)</f>
        <v>0</v>
      </c>
      <c r="F365" s="114">
        <f>IF(B365&lt;=MIN(Simulation!$F$10*12+Simulation!$F$12*OR(Simulation!$F$11="Amortissable différé partiel",Simulation!$F$11="Amortissable différé total"),Simulation!$F$24*12),Simulation!$E$33*Simulation!$F$9/12,0)</f>
        <v>0</v>
      </c>
      <c r="G365" s="115">
        <f>IF(B365&lt;=MIN(Simulation!$F$10*12+Simulation!$F$12*OR(Simulation!$F$11="Amortissable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partiel",IF(B365&lt;=Simulation!$F$12,Simulation!$E$33*Simulation!$F$8/12,PMT(Simulation!$F$8/12,Simulation!$F$10*12,-Simulation!$E$34)),IF(Simulation!$F$11="Amortissable différé total",IF(B365&lt;=Simulation!$F$12,0,PMT(Simulation!$F$8/12,Simulation!$F$10*12,-Simulation!$E$34)),IF(Simulation!$F$11="In fine",IF(B365=Simulation!$F$10*12,Simulation!$E$34,Simulation!$F$8*Simulation!$E$34/12),0)))),0)</f>
        <v>0</v>
      </c>
      <c r="H365" s="113">
        <f>Simulation!$C$16/12*(1+Simulation!$F$15)^INT((B365-1)/12)*(B365&lt;=Simulation!$F$24*12)</f>
        <v>0</v>
      </c>
      <c r="I365" s="114">
        <f>(Simulation!$F$22-VLOOKUP(Simulation!$C$27,'Comparatif fiscal'!$B$8:$E$17,4,FALSE)-C365)*(B365=Simulation!$F$24*12)</f>
        <v>0</v>
      </c>
      <c r="J365" s="114">
        <f>(Simulation!$C$21+Simulation!$C$22)/12*(1+Simulation!$F$17)^INT((B365-1)/12)*(B365&lt;=Simulation!$F$24*12)</f>
        <v>0</v>
      </c>
      <c r="K365" s="114">
        <f>(H365*Simulation!$C$24+Simulation!$C$23/12*(1+Simulation!$F$15)^INT((B365-1)/12))*(B365&lt;=Simulation!$F$24*12)</f>
        <v>0</v>
      </c>
      <c r="L365" s="114">
        <f>Simulation!$C$19/12*(1+Simulation!$F$18)^INT((B365-1)/12)*(B365&lt;=Simulation!$F$24*12)</f>
        <v>0</v>
      </c>
      <c r="M365" s="114">
        <f>(Simulation!$C$20/12*(1+Simulation!$F$19)^INT((B365-1)/12)+F365)*(B365&lt;=Simulation!$F$24*12)</f>
        <v>0</v>
      </c>
      <c r="N365" s="114">
        <f ca="1">SUMIF('Détail fiscalité'!$B$8:$B$37,INT(B365/12),'Détail fiscalité'!$CI$8:$CI$37)/12+SUMIF('Détail fiscalité'!$B$8:$B$37,B365/12,'Détail fiscalité'!$CI$8:$CI$37)-SUMIF('Détail fiscalité'!$B$8:$B$37,B365/12-1,'Détail fiscalité'!$CI$8:$CI$37)</f>
        <v>0</v>
      </c>
      <c r="O365" s="116">
        <f t="shared" ca="1" si="26"/>
        <v>0</v>
      </c>
    </row>
    <row r="366" spans="2:15" x14ac:dyDescent="0.15">
      <c r="B366" s="40">
        <f t="shared" si="25"/>
        <v>359</v>
      </c>
      <c r="C366" s="113">
        <f>IF(B366&lt;=MIN(Simulation!$F$10*12+Simulation!$F$12*OR(Simulation!$F$11="Amortissable différé partiel",Simulation!$F$11="Amortissable différé total"),Simulation!$F$24*12),IF(AND(B366&lt;=Simulation!$F$12,OR(Simulation!$F$11="Amortissable différé partiel",Simulation!$F$11="Amortissable différé total")),C365*(1+(Simulation!$F$11="Amortissable différé total")*Simulation!$F$8/12),C365-D366),0)</f>
        <v>0</v>
      </c>
      <c r="D366" s="114">
        <f>IF(B366&lt;=MIN(Simulation!$F$10*12+Simulation!$F$12*OR(Simulation!$F$11="Amortissable différé partiel",Simulation!$F$11="Amortissable différé total"),Simulation!$F$24*12),G366-E366,0)</f>
        <v>0</v>
      </c>
      <c r="E366" s="114">
        <f>IF(B366&lt;=MIN(Simulation!$F$10*12+Simulation!$F$12*OR(Simulation!$F$11="Amortissable différé partiel",Simulation!$F$11="Amortissable différé total"),Simulation!$F$24*12),IF(AND(B366&lt;=Simulation!$F$12,Simulation!$F$11="Amortissable différé total"),0,C365*Simulation!$F$8/12),0)</f>
        <v>0</v>
      </c>
      <c r="F366" s="114">
        <f>IF(B366&lt;=MIN(Simulation!$F$10*12+Simulation!$F$12*OR(Simulation!$F$11="Amortissable différé partiel",Simulation!$F$11="Amortissable différé total"),Simulation!$F$24*12),Simulation!$E$33*Simulation!$F$9/12,0)</f>
        <v>0</v>
      </c>
      <c r="G366" s="115">
        <f>IF(B366&lt;=MIN(Simulation!$F$10*12+Simulation!$F$12*OR(Simulation!$F$11="Amortissable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partiel",IF(B366&lt;=Simulation!$F$12,Simulation!$E$33*Simulation!$F$8/12,PMT(Simulation!$F$8/12,Simulation!$F$10*12,-Simulation!$E$34)),IF(Simulation!$F$11="Amortissable différé total",IF(B366&lt;=Simulation!$F$12,0,PMT(Simulation!$F$8/12,Simulation!$F$10*12,-Simulation!$E$34)),IF(Simulation!$F$11="In fine",IF(B366=Simulation!$F$10*12,Simulation!$E$34,Simulation!$F$8*Simulation!$E$34/12),0)))),0)</f>
        <v>0</v>
      </c>
      <c r="H366" s="113">
        <f>Simulation!$C$16/12*(1+Simulation!$F$15)^INT((B366-1)/12)*(B366&lt;=Simulation!$F$24*12)</f>
        <v>0</v>
      </c>
      <c r="I366" s="114">
        <f>(Simulation!$F$22-VLOOKUP(Simulation!$C$27,'Comparatif fiscal'!$B$8:$E$17,4,FALSE)-C366)*(B366=Simulation!$F$24*12)</f>
        <v>0</v>
      </c>
      <c r="J366" s="114">
        <f>(Simulation!$C$21+Simulation!$C$22)/12*(1+Simulation!$F$17)^INT((B366-1)/12)*(B366&lt;=Simulation!$F$24*12)</f>
        <v>0</v>
      </c>
      <c r="K366" s="114">
        <f>(H366*Simulation!$C$24+Simulation!$C$23/12*(1+Simulation!$F$15)^INT((B366-1)/12))*(B366&lt;=Simulation!$F$24*12)</f>
        <v>0</v>
      </c>
      <c r="L366" s="114">
        <f>Simulation!$C$19/12*(1+Simulation!$F$18)^INT((B366-1)/12)*(B366&lt;=Simulation!$F$24*12)</f>
        <v>0</v>
      </c>
      <c r="M366" s="114">
        <f>(Simulation!$C$20/12*(1+Simulation!$F$19)^INT((B366-1)/12)+F366)*(B366&lt;=Simulation!$F$24*12)</f>
        <v>0</v>
      </c>
      <c r="N366" s="114">
        <f ca="1">SUMIF('Détail fiscalité'!$B$8:$B$37,INT(B366/12),'Détail fiscalité'!$CI$8:$CI$37)/12+SUMIF('Détail fiscalité'!$B$8:$B$37,B366/12,'Détail fiscalité'!$CI$8:$CI$37)-SUMIF('Détail fiscalité'!$B$8:$B$37,B366/12-1,'Détail fiscalité'!$CI$8:$CI$37)</f>
        <v>0</v>
      </c>
      <c r="O366" s="116">
        <f t="shared" ca="1" si="26"/>
        <v>0</v>
      </c>
    </row>
    <row r="367" spans="2:15" x14ac:dyDescent="0.15">
      <c r="B367" s="43">
        <f t="shared" si="25"/>
        <v>360</v>
      </c>
      <c r="C367" s="117">
        <f>IF(B367&lt;=MIN(Simulation!$F$10*12+Simulation!$F$12*OR(Simulation!$F$11="Amortissable différé partiel",Simulation!$F$11="Amortissable différé total"),Simulation!$F$24*12),IF(AND(B367&lt;=Simulation!$F$12,OR(Simulation!$F$11="Amortissable différé partiel",Simulation!$F$11="Amortissable différé total")),C366*(1+(Simulation!$F$11="Amortissable différé total")*Simulation!$F$8/12),C366-D367),0)</f>
        <v>0</v>
      </c>
      <c r="D367" s="118">
        <f>IF(B367&lt;=MIN(Simulation!$F$10*12+Simulation!$F$12*OR(Simulation!$F$11="Amortissable différé partiel",Simulation!$F$11="Amortissable différé total"),Simulation!$F$24*12),G367-E367,0)</f>
        <v>0</v>
      </c>
      <c r="E367" s="118">
        <f>IF(B367&lt;=MIN(Simulation!$F$10*12+Simulation!$F$12*OR(Simulation!$F$11="Amortissable différé partiel",Simulation!$F$11="Amortissable différé total"),Simulation!$F$24*12),IF(AND(B367&lt;=Simulation!$F$12,Simulation!$F$11="Amortissable différé total"),0,C366*Simulation!$F$8/12),0)</f>
        <v>0</v>
      </c>
      <c r="F367" s="118">
        <f>IF(B367&lt;=MIN(Simulation!$F$10*12+Simulation!$F$12*OR(Simulation!$F$11="Amortissable différé partiel",Simulation!$F$11="Amortissable différé total"),Simulation!$F$24*12),Simulation!$E$33*Simulation!$F$9/12,0)</f>
        <v>0</v>
      </c>
      <c r="G367" s="119">
        <f>IF(B367&lt;=MIN(Simulation!$F$10*12+Simulation!$F$12*OR(Simulation!$F$11="Amortissable différé partiel",Simulation!$F$11="Amortissable différé total"),Simulation!$F$24*12),IF(Simulation!$F$11="Amortissable sans différé",PMT(Simulation!$F$8/12,Simulation!$F$10*12,-Simulation!$E$34),IF(Simulation!$F$11="Amortissable différé partiel",IF(B367&lt;=Simulation!$F$12,Simulation!$E$33*Simulation!$F$8/12,PMT(Simulation!$F$8/12,Simulation!$F$10*12,-Simulation!$E$34)),IF(Simulation!$F$11="Amortissable différé total",IF(B367&lt;=Simulation!$F$12,0,PMT(Simulation!$F$8/12,Simulation!$F$10*12,-Simulation!$E$34)),IF(Simulation!$F$11="In fine",IF(B367=Simulation!$F$10*12,Simulation!$E$34,Simulation!$F$8*Simulation!$E$34/12),0)))),0)</f>
        <v>0</v>
      </c>
      <c r="H367" s="117">
        <f>Simulation!$C$16/12*(1+Simulation!$F$15)^INT((B367-1)/12)*(B367&lt;=Simulation!$F$24*12)</f>
        <v>0</v>
      </c>
      <c r="I367" s="118">
        <f>(Simulation!$F$22-VLOOKUP(Simulation!$C$27,'Comparatif fiscal'!$B$8:$E$17,4,FALSE)-C367)*(B367=Simulation!$F$24*12)</f>
        <v>0</v>
      </c>
      <c r="J367" s="118">
        <f>(Simulation!$C$21+Simulation!$C$22)/12*(1+Simulation!$F$17)^INT((B367-1)/12)*(B367&lt;=Simulation!$F$24*12)</f>
        <v>0</v>
      </c>
      <c r="K367" s="118">
        <f>(H367*Simulation!$C$24+Simulation!$C$23/12*(1+Simulation!$F$15)^INT((B367-1)/12))*(B367&lt;=Simulation!$F$24*12)</f>
        <v>0</v>
      </c>
      <c r="L367" s="118">
        <f>Simulation!$C$19/12*(1+Simulation!$F$18)^INT((B367-1)/12)*(B367&lt;=Simulation!$F$24*12)</f>
        <v>0</v>
      </c>
      <c r="M367" s="118">
        <f>(Simulation!$C$20/12*(1+Simulation!$F$19)^INT((B367-1)/12)+F367)*(B367&lt;=Simulation!$F$24*12)</f>
        <v>0</v>
      </c>
      <c r="N367" s="118">
        <f ca="1">SUMIF('Détail fiscalité'!$B$8:$B$37,INT(B367/12),'Détail fiscalité'!$CI$8:$CI$37)/12+SUMIF('Détail fiscalité'!$B$8:$B$37,B367/12,'Détail fiscalité'!$CI$8:$CI$37)-SUMIF('Détail fiscalité'!$B$8:$B$37,B367/12-1,'Détail fiscalité'!$CI$8:$CI$37)</f>
        <v>0</v>
      </c>
      <c r="O367" s="120">
        <f t="shared" ca="1" si="26"/>
        <v>0</v>
      </c>
    </row>
    <row r="368" spans="2:15" x14ac:dyDescent="0.15">
      <c r="B368" s="44">
        <f t="shared" si="25"/>
        <v>361</v>
      </c>
      <c r="C368" s="101"/>
      <c r="D368" s="101"/>
      <c r="E368" s="101"/>
      <c r="F368" s="101"/>
      <c r="G368" s="101"/>
      <c r="H368" s="101"/>
      <c r="I368" s="101"/>
      <c r="J368" s="101"/>
      <c r="K368" s="101"/>
      <c r="L368" s="101"/>
      <c r="M368" s="101"/>
      <c r="N368" s="101"/>
      <c r="O368" s="137">
        <f t="shared" si="26"/>
        <v>0</v>
      </c>
    </row>
  </sheetData>
  <sheetProtection algorithmName="SHA-512" hashValue="TAg2XGQeBOq31teyvEysJ/SRBA8a2e3PoNj/0ACEDq5xBBt5/jhAyYryBRH0dphLnQmQwi2O/8PlwEn/EyH2ug==" saltValue="iNfD9VY4tSLUGmORE1SmaQ==" spinCount="100000" sheet="1" objects="1" scenarios="1" selectLockedCells="1"/>
  <mergeCells count="6">
    <mergeCell ref="AD5:AD6"/>
    <mergeCell ref="C5:G5"/>
    <mergeCell ref="H5:N5"/>
    <mergeCell ref="O5:O6"/>
    <mergeCell ref="R5:V5"/>
    <mergeCell ref="W5:AC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5">
    <tabColor theme="4" tint="-0.499984740745262"/>
  </sheetPr>
  <dimension ref="B1:CV41"/>
  <sheetViews>
    <sheetView showGridLines="0" zoomScale="80" zoomScaleNormal="80" workbookViewId="0">
      <selection activeCell="CM20" sqref="CM20"/>
    </sheetView>
  </sheetViews>
  <sheetFormatPr baseColWidth="10" defaultColWidth="11.5" defaultRowHeight="15" outlineLevelCol="1" x14ac:dyDescent="0.2"/>
  <cols>
    <col min="1" max="1" width="4.83203125" customWidth="1"/>
    <col min="5" max="5" width="17" customWidth="1"/>
    <col min="6" max="6" width="13.5" customWidth="1"/>
    <col min="11" max="11" width="13.1640625" customWidth="1"/>
    <col min="12" max="13" width="13.6640625" customWidth="1"/>
    <col min="14" max="14" width="14.33203125" customWidth="1"/>
    <col min="15" max="16" width="13.5" hidden="1" customWidth="1" outlineLevel="1"/>
    <col min="17" max="19" width="13.1640625" hidden="1" customWidth="1" outlineLevel="1"/>
    <col min="20" max="20" width="13.5" hidden="1" customWidth="1" outlineLevel="1"/>
    <col min="21" max="24" width="15" hidden="1" customWidth="1" outlineLevel="1"/>
    <col min="25" max="67" width="11.5" hidden="1" customWidth="1" outlineLevel="1"/>
    <col min="68" max="68" width="13" hidden="1" customWidth="1" outlineLevel="1"/>
    <col min="69" max="69" width="12.33203125" hidden="1" customWidth="1" outlineLevel="1"/>
    <col min="70" max="70" width="13.1640625" hidden="1" customWidth="1" outlineLevel="1"/>
    <col min="71" max="76" width="11.5" hidden="1" customWidth="1" outlineLevel="1"/>
    <col min="77" max="79" width="14.6640625" hidden="1" customWidth="1" outlineLevel="1"/>
    <col min="80" max="85" width="14.33203125" hidden="1" customWidth="1" outlineLevel="1"/>
    <col min="86" max="86" width="15.1640625" hidden="1" customWidth="1" outlineLevel="1"/>
    <col min="87" max="87" width="27.83203125" customWidth="1" collapsed="1"/>
  </cols>
  <sheetData>
    <row r="1" spans="2:100" s="1" customFormat="1" ht="14" x14ac:dyDescent="0.15">
      <c r="L1" s="2"/>
      <c r="M1" s="2"/>
      <c r="N1" s="2"/>
      <c r="O1" s="2"/>
      <c r="P1" s="2"/>
      <c r="Q1" s="2"/>
      <c r="R1" s="2"/>
      <c r="S1" s="2"/>
    </row>
    <row r="2" spans="2:100" s="1" customFormat="1" ht="14" x14ac:dyDescent="0.15">
      <c r="E2" s="49" t="str">
        <f>Emprunteur!C2</f>
        <v>v3.3</v>
      </c>
      <c r="L2" s="2"/>
      <c r="M2" s="2"/>
      <c r="N2" s="2"/>
      <c r="O2" s="2"/>
      <c r="P2" s="2"/>
      <c r="Q2" s="2"/>
      <c r="R2" s="2"/>
      <c r="S2" s="2"/>
      <c r="T2" s="2"/>
    </row>
    <row r="3" spans="2:100" s="1" customFormat="1" ht="14" x14ac:dyDescent="0.15">
      <c r="C3" s="48"/>
      <c r="L3" s="2"/>
      <c r="M3" s="2"/>
      <c r="N3" s="2"/>
      <c r="T3" s="2"/>
      <c r="CI3" s="3"/>
    </row>
    <row r="4" spans="2:100" s="1" customFormat="1" ht="14" x14ac:dyDescent="0.15">
      <c r="L4" s="2"/>
      <c r="M4" s="2"/>
      <c r="N4" s="2"/>
      <c r="O4" s="2"/>
      <c r="P4" s="2"/>
      <c r="Q4" s="2"/>
      <c r="R4" s="2"/>
      <c r="S4" s="2"/>
      <c r="T4" s="2"/>
      <c r="CI4" s="3"/>
    </row>
    <row r="5" spans="2:100" x14ac:dyDescent="0.2">
      <c r="B5" s="7"/>
      <c r="C5" s="76" t="s">
        <v>170</v>
      </c>
      <c r="D5" s="188" t="s">
        <v>171</v>
      </c>
      <c r="E5" s="186"/>
      <c r="F5" s="186"/>
      <c r="G5" s="186"/>
      <c r="H5" s="189"/>
      <c r="I5" s="188" t="s">
        <v>172</v>
      </c>
      <c r="J5" s="186"/>
      <c r="K5" s="186"/>
      <c r="L5" s="186"/>
      <c r="M5" s="186"/>
      <c r="N5" s="186"/>
      <c r="O5" s="188" t="s">
        <v>173</v>
      </c>
      <c r="P5" s="186"/>
      <c r="Q5" s="186"/>
      <c r="R5" s="186"/>
      <c r="S5" s="186"/>
      <c r="T5" s="186"/>
      <c r="U5" s="186"/>
      <c r="V5" s="186"/>
      <c r="W5" s="186"/>
      <c r="X5" s="189"/>
      <c r="Y5" s="188" t="s">
        <v>174</v>
      </c>
      <c r="Z5" s="186"/>
      <c r="AA5" s="186"/>
      <c r="AB5" s="186"/>
      <c r="AC5" s="186"/>
      <c r="AD5" s="185" t="s">
        <v>175</v>
      </c>
      <c r="AE5" s="186"/>
      <c r="AF5" s="186"/>
      <c r="AG5" s="186"/>
      <c r="AH5" s="187"/>
      <c r="AI5" s="185" t="s">
        <v>176</v>
      </c>
      <c r="AJ5" s="186"/>
      <c r="AK5" s="186"/>
      <c r="AL5" s="186"/>
      <c r="AM5" s="187"/>
      <c r="AN5" s="185" t="s">
        <v>177</v>
      </c>
      <c r="AO5" s="186"/>
      <c r="AP5" s="186"/>
      <c r="AQ5" s="186"/>
      <c r="AR5" s="186"/>
      <c r="AS5" s="186"/>
      <c r="AT5" s="186"/>
      <c r="AU5" s="186"/>
      <c r="AV5" s="187"/>
      <c r="AW5" s="186" t="s">
        <v>178</v>
      </c>
      <c r="AX5" s="186"/>
      <c r="AY5" s="186"/>
      <c r="AZ5" s="186"/>
      <c r="BA5" s="186"/>
      <c r="BB5" s="185" t="s">
        <v>179</v>
      </c>
      <c r="BC5" s="186"/>
      <c r="BD5" s="186"/>
      <c r="BE5" s="186"/>
      <c r="BF5" s="186"/>
      <c r="BG5" s="186"/>
      <c r="BH5" s="186"/>
      <c r="BI5" s="186"/>
      <c r="BJ5" s="187"/>
      <c r="BK5" s="186" t="s">
        <v>180</v>
      </c>
      <c r="BL5" s="186"/>
      <c r="BM5" s="186"/>
      <c r="BN5" s="186"/>
      <c r="BO5" s="186"/>
      <c r="BP5" s="188" t="s">
        <v>181</v>
      </c>
      <c r="BQ5" s="186"/>
      <c r="BR5" s="186"/>
      <c r="BS5" s="186"/>
      <c r="BT5" s="186"/>
      <c r="BU5" s="186"/>
      <c r="BV5" s="186"/>
      <c r="BW5" s="186"/>
      <c r="BX5" s="186"/>
      <c r="BY5" s="185" t="s">
        <v>182</v>
      </c>
      <c r="BZ5" s="186"/>
      <c r="CA5" s="186"/>
      <c r="CB5" s="187"/>
      <c r="CC5" s="186" t="s">
        <v>183</v>
      </c>
      <c r="CD5" s="186"/>
      <c r="CE5" s="186"/>
      <c r="CF5" s="186"/>
      <c r="CG5" s="186"/>
      <c r="CH5" s="189"/>
      <c r="CI5" s="88" t="str">
        <f>"Régime retenu : "&amp;Simulation!C27</f>
        <v>Régime retenu : LMNP BIC réel</v>
      </c>
    </row>
    <row r="6" spans="2:100" ht="35.25" customHeight="1" x14ac:dyDescent="0.2">
      <c r="B6" s="89" t="s">
        <v>8</v>
      </c>
      <c r="C6" s="90" t="str">
        <f>'Détail trésorerie'!H6</f>
        <v>Loyer</v>
      </c>
      <c r="D6" s="90" t="str">
        <f>'Détail trésorerie'!E6</f>
        <v>Intérêts</v>
      </c>
      <c r="E6" s="91" t="str">
        <f>'Détail trésorerie'!J6</f>
        <v>Charges de copro. et foncières</v>
      </c>
      <c r="F6" s="91" t="str">
        <f>'Détail trésorerie'!K6</f>
        <v>Charges de gestion / GLI</v>
      </c>
      <c r="G6" s="91" t="str">
        <f>'Détail trésorerie'!L6</f>
        <v>Taxe foncière</v>
      </c>
      <c r="H6" s="92" t="str">
        <f>'Détail trésorerie'!M6</f>
        <v>Assurances yc ADI</v>
      </c>
      <c r="I6" s="90" t="s">
        <v>6</v>
      </c>
      <c r="J6" s="91" t="s">
        <v>11</v>
      </c>
      <c r="K6" s="91" t="s">
        <v>184</v>
      </c>
      <c r="L6" s="91" t="s">
        <v>185</v>
      </c>
      <c r="M6" s="91" t="s">
        <v>186</v>
      </c>
      <c r="N6" s="91" t="s">
        <v>187</v>
      </c>
      <c r="O6" s="90" t="s">
        <v>188</v>
      </c>
      <c r="P6" s="91" t="s">
        <v>43</v>
      </c>
      <c r="Q6" s="91" t="s">
        <v>189</v>
      </c>
      <c r="R6" s="91" t="s">
        <v>190</v>
      </c>
      <c r="S6" s="91" t="s">
        <v>191</v>
      </c>
      <c r="T6" s="91" t="s">
        <v>192</v>
      </c>
      <c r="U6" s="91" t="s">
        <v>193</v>
      </c>
      <c r="V6" s="91" t="s">
        <v>194</v>
      </c>
      <c r="W6" s="91" t="s">
        <v>195</v>
      </c>
      <c r="X6" s="91" t="s">
        <v>196</v>
      </c>
      <c r="Y6" s="90" t="s">
        <v>197</v>
      </c>
      <c r="Z6" s="91" t="s">
        <v>55</v>
      </c>
      <c r="AA6" s="91" t="s">
        <v>58</v>
      </c>
      <c r="AB6" s="91" t="s">
        <v>198</v>
      </c>
      <c r="AC6" s="91" t="s">
        <v>199</v>
      </c>
      <c r="AD6" s="93" t="s">
        <v>197</v>
      </c>
      <c r="AE6" s="91" t="s">
        <v>55</v>
      </c>
      <c r="AF6" s="91" t="s">
        <v>58</v>
      </c>
      <c r="AG6" s="91" t="s">
        <v>198</v>
      </c>
      <c r="AH6" s="94" t="s">
        <v>199</v>
      </c>
      <c r="AI6" s="93" t="s">
        <v>197</v>
      </c>
      <c r="AJ6" s="91" t="s">
        <v>55</v>
      </c>
      <c r="AK6" s="91" t="s">
        <v>58</v>
      </c>
      <c r="AL6" s="91" t="s">
        <v>198</v>
      </c>
      <c r="AM6" s="94" t="s">
        <v>199</v>
      </c>
      <c r="AN6" s="90" t="s">
        <v>200</v>
      </c>
      <c r="AO6" s="91" t="s">
        <v>201</v>
      </c>
      <c r="AP6" s="91" t="s">
        <v>202</v>
      </c>
      <c r="AQ6" s="91" t="s">
        <v>203</v>
      </c>
      <c r="AR6" s="91" t="s">
        <v>204</v>
      </c>
      <c r="AS6" s="91" t="s">
        <v>55</v>
      </c>
      <c r="AT6" s="91" t="s">
        <v>58</v>
      </c>
      <c r="AU6" s="91" t="s">
        <v>198</v>
      </c>
      <c r="AV6" s="91" t="s">
        <v>199</v>
      </c>
      <c r="AW6" s="91" t="s">
        <v>197</v>
      </c>
      <c r="AX6" s="91" t="s">
        <v>55</v>
      </c>
      <c r="AY6" s="91" t="s">
        <v>58</v>
      </c>
      <c r="AZ6" s="91" t="s">
        <v>198</v>
      </c>
      <c r="BA6" s="91" t="s">
        <v>199</v>
      </c>
      <c r="BB6" s="90" t="s">
        <v>200</v>
      </c>
      <c r="BC6" s="91" t="s">
        <v>201</v>
      </c>
      <c r="BD6" s="91" t="s">
        <v>202</v>
      </c>
      <c r="BE6" s="91" t="s">
        <v>203</v>
      </c>
      <c r="BF6" s="91" t="s">
        <v>204</v>
      </c>
      <c r="BG6" s="91" t="s">
        <v>55</v>
      </c>
      <c r="BH6" s="91" t="s">
        <v>58</v>
      </c>
      <c r="BI6" s="91" t="s">
        <v>198</v>
      </c>
      <c r="BJ6" s="91" t="s">
        <v>199</v>
      </c>
      <c r="BK6" s="91" t="s">
        <v>197</v>
      </c>
      <c r="BL6" s="91" t="s">
        <v>55</v>
      </c>
      <c r="BM6" s="91" t="s">
        <v>58</v>
      </c>
      <c r="BN6" s="91" t="s">
        <v>198</v>
      </c>
      <c r="BO6" s="91" t="s">
        <v>199</v>
      </c>
      <c r="BP6" s="90" t="s">
        <v>200</v>
      </c>
      <c r="BQ6" s="91" t="s">
        <v>201</v>
      </c>
      <c r="BR6" s="91" t="s">
        <v>202</v>
      </c>
      <c r="BS6" s="91" t="s">
        <v>203</v>
      </c>
      <c r="BT6" s="91" t="s">
        <v>204</v>
      </c>
      <c r="BU6" s="91" t="s">
        <v>55</v>
      </c>
      <c r="BV6" s="91" t="s">
        <v>58</v>
      </c>
      <c r="BW6" s="91" t="s">
        <v>198</v>
      </c>
      <c r="BX6" s="91" t="s">
        <v>199</v>
      </c>
      <c r="BY6" s="93" t="s">
        <v>197</v>
      </c>
      <c r="BZ6" s="91" t="s">
        <v>205</v>
      </c>
      <c r="CA6" s="91" t="s">
        <v>206</v>
      </c>
      <c r="CB6" s="94" t="s">
        <v>207</v>
      </c>
      <c r="CC6" s="91" t="s">
        <v>208</v>
      </c>
      <c r="CD6" s="91" t="s">
        <v>205</v>
      </c>
      <c r="CE6" s="91" t="s">
        <v>206</v>
      </c>
      <c r="CF6" s="91" t="s">
        <v>207</v>
      </c>
      <c r="CG6" s="91" t="s">
        <v>199</v>
      </c>
      <c r="CH6" s="92" t="s">
        <v>209</v>
      </c>
      <c r="CI6" s="95" t="s">
        <v>199</v>
      </c>
    </row>
    <row r="7" spans="2:100" x14ac:dyDescent="0.2">
      <c r="B7" s="41">
        <v>0</v>
      </c>
      <c r="C7" s="136"/>
      <c r="D7" s="136"/>
      <c r="E7" s="134"/>
      <c r="F7" s="134"/>
      <c r="G7" s="134"/>
      <c r="H7" s="135"/>
      <c r="I7" s="136"/>
      <c r="J7" s="134"/>
      <c r="K7" s="134"/>
      <c r="L7" s="134"/>
      <c r="M7" s="134"/>
      <c r="N7" s="134"/>
      <c r="O7" s="136"/>
      <c r="P7" s="134"/>
      <c r="Q7" s="134"/>
      <c r="R7" s="134"/>
      <c r="S7" s="134"/>
      <c r="T7" s="134"/>
      <c r="U7" s="134"/>
      <c r="V7" s="134"/>
      <c r="W7" s="134"/>
      <c r="X7" s="134"/>
      <c r="Y7" s="136"/>
      <c r="Z7" s="134"/>
      <c r="AA7" s="134"/>
      <c r="AB7" s="134"/>
      <c r="AC7" s="134"/>
      <c r="AD7" s="138"/>
      <c r="AE7" s="134"/>
      <c r="AF7" s="134"/>
      <c r="AG7" s="134"/>
      <c r="AH7" s="139"/>
      <c r="AI7" s="138"/>
      <c r="AJ7" s="134"/>
      <c r="AK7" s="134"/>
      <c r="AL7" s="134"/>
      <c r="AM7" s="139"/>
      <c r="AN7" s="140"/>
      <c r="AO7" s="141"/>
      <c r="AP7" s="141"/>
      <c r="AQ7" s="141"/>
      <c r="AR7" s="134"/>
      <c r="AS7" s="134"/>
      <c r="AT7" s="134"/>
      <c r="AU7" s="134"/>
      <c r="AV7" s="139"/>
      <c r="AW7" s="134"/>
      <c r="AX7" s="134"/>
      <c r="AY7" s="134"/>
      <c r="AZ7" s="134"/>
      <c r="BA7" s="134"/>
      <c r="BB7" s="138"/>
      <c r="BC7" s="134"/>
      <c r="BD7" s="134"/>
      <c r="BE7" s="134"/>
      <c r="BF7" s="134"/>
      <c r="BG7" s="134"/>
      <c r="BH7" s="134"/>
      <c r="BI7" s="134"/>
      <c r="BJ7" s="139"/>
      <c r="BK7" s="134"/>
      <c r="BL7" s="134"/>
      <c r="BM7" s="134"/>
      <c r="BN7" s="134"/>
      <c r="BO7" s="134"/>
      <c r="BP7" s="136"/>
      <c r="BQ7" s="134"/>
      <c r="BR7" s="134"/>
      <c r="BS7" s="134"/>
      <c r="BT7" s="134"/>
      <c r="BU7" s="134"/>
      <c r="BV7" s="134"/>
      <c r="BW7" s="134"/>
      <c r="BX7" s="134"/>
      <c r="BY7" s="138"/>
      <c r="BZ7" s="134"/>
      <c r="CA7" s="134"/>
      <c r="CB7" s="139"/>
      <c r="CC7" s="134"/>
      <c r="CD7" s="134"/>
      <c r="CE7" s="134"/>
      <c r="CF7" s="134"/>
      <c r="CG7" s="134"/>
      <c r="CH7" s="135"/>
      <c r="CI7" s="142"/>
    </row>
    <row r="8" spans="2:100" x14ac:dyDescent="0.2">
      <c r="B8" s="40">
        <f t="shared" ref="B8:B37" si="0">B7+1</f>
        <v>1</v>
      </c>
      <c r="C8" s="143">
        <f>SUMPRODUCT('Détail trésorerie'!$H$8:$H$367*('Détail trésorerie'!$B$8:$B$367&gt;$B7*12)*('Détail trésorerie'!$B$8:$B$367&lt;=$B8*12))</f>
        <v>12000</v>
      </c>
      <c r="D8" s="126">
        <f>SUMPRODUCT('Détail trésorerie'!$E$8:$E$367*('Détail trésorerie'!$B$8:$B$367&gt;$B7*12)*('Détail trésorerie'!$B$8:$B$367&lt;=$B8*12))</f>
        <v>2623.1565840815624</v>
      </c>
      <c r="E8" s="144">
        <f>SUMPRODUCT('Détail trésorerie'!$J$8:$J$367*('Détail trésorerie'!$B$8:$B$367&gt;$B7*12)*('Détail trésorerie'!$B$8:$B$367&lt;=$B8*12))</f>
        <v>1500</v>
      </c>
      <c r="F8" s="144">
        <f>SUMPRODUCT('Détail trésorerie'!$K$8:$K$367*('Détail trésorerie'!$B$8:$B$367&gt;$B7*12)*('Détail trésorerie'!$B$8:$B$367&lt;=$B8*12))</f>
        <v>1240</v>
      </c>
      <c r="G8" s="144">
        <f>SUMPRODUCT('Détail trésorerie'!$L$8:$L$367*('Détail trésorerie'!$B$8:$B$367&gt;$B7*12)*('Détail trésorerie'!$B$8:$B$367&lt;=$B8*12))</f>
        <v>600</v>
      </c>
      <c r="H8" s="145">
        <f>SUMPRODUCT('Détail trésorerie'!$M$8:$M$367*('Détail trésorerie'!$B$8:$B$367&gt;$B7*12)*('Détail trésorerie'!$B$8:$B$367&lt;=$B8*12))</f>
        <v>456.8</v>
      </c>
      <c r="I8" s="146">
        <f>Paramètres!$E$3*Simulation!$C$7*Paramètres!$C$3</f>
        <v>0</v>
      </c>
      <c r="J8" s="147">
        <f>Paramètres!$E$4*Simulation!$C$7*Paramètres!$C$4</f>
        <v>2700</v>
      </c>
      <c r="K8" s="147">
        <f>Paramètres!$E$5*Simulation!$C$8*Paramètres!$C$5</f>
        <v>2148</v>
      </c>
      <c r="L8" s="147">
        <f>(1-Paramètres!$E$5)*Simulation!$C$8</f>
        <v>3579.9999999999991</v>
      </c>
      <c r="M8" s="147">
        <f>Simulation!C9</f>
        <v>2000</v>
      </c>
      <c r="N8" s="147">
        <f>Paramètres!$C$6*(Simulation!$C$10+Simulation!$C$11+Simulation!$C$12)</f>
        <v>4120</v>
      </c>
      <c r="O8" s="148">
        <f>25000*8/2*(1+Emprunteur!$F$7)^$B8</f>
        <v>101000</v>
      </c>
      <c r="P8" s="165">
        <f>0*(1+Emprunteur!$F$8)^$B8</f>
        <v>0</v>
      </c>
      <c r="Q8" s="165">
        <f>0*(1+Emprunteur!$F$9)^$B8</f>
        <v>0</v>
      </c>
      <c r="R8" s="165">
        <f>0*(1+Emprunteur!$F$10)^$B8</f>
        <v>0</v>
      </c>
      <c r="S8" s="108">
        <f>O8+MAX(P8,0)+MAX(Q8,0)+R8</f>
        <v>101000</v>
      </c>
      <c r="T8" s="157">
        <v>1</v>
      </c>
      <c r="U8" s="157">
        <v>1</v>
      </c>
      <c r="V8" s="108">
        <f>(MAX(MIN(Paramètres!$B$9,S8/T8),0)*Paramètres!$C$9+MAX(MIN(Paramètres!$B$10,S8/T8)-Paramètres!$B$9,0)*Paramètres!$C$10+MAX(MIN(Paramètres!$B$11,S8/T8)-Paramètres!$B$10,0)*Paramètres!$C$11+MAX(MIN(Paramètres!$B$12,S8/T8)-Paramètres!$B$11,0)*Paramètres!$C$12+MAX(MIN(Paramètres!$B$13,S8/T8)-Paramètres!$B$12,0)*Paramètres!$C$13)*T8</f>
        <v>26361.01</v>
      </c>
      <c r="W8" s="108">
        <f>(MAX(MIN(Paramètres!$B$9,S8/U8),0)*Paramètres!$C$9+MAX(MIN(Paramètres!$B$10,S8/U8)-Paramètres!$B$9,0)*Paramètres!$C$10+MAX(MIN(Paramètres!$B$11,S8/U8)-Paramètres!$B$10,0)*Paramètres!$C$11+MAX(MIN(Paramètres!$B$12,S8/U8)-Paramètres!$B$11,0)*Paramètres!$C$12+MAX(MIN(Paramètres!$B$13,S8/U8)-Paramètres!$B$12,0)*Paramètres!$C$13)*U8</f>
        <v>26361.01</v>
      </c>
      <c r="X8" s="108">
        <f>MAX(V8,W8-Paramètres!$E$13*(T8-U8)*2)+MAX(P8,0)*Paramètres!$E$9+MAX(Q8,0)*Paramètres!$E$9+MAX(R8*Paramètres!$E$12,Paramètres!$E$11)</f>
        <v>27506.01</v>
      </c>
      <c r="Y8" s="126">
        <f>(C8-SUM(D8:N8)+MIN(Y7,0))*(B8&lt;=Simulation!$F$24)</f>
        <v>-8967.9565840815631</v>
      </c>
      <c r="Z8" s="108">
        <f>(MAX(MIN(Paramètres!$B$9,(O8+MAX(P8,0)+MAX(Q8+Y8,0)+R8)/T8),0)*Paramètres!$C$9+MAX(MIN(Paramètres!$B$10,(O8+MAX(P8,0)+MAX(Q8+Y8,0)+R8)/T8)-Paramètres!$B$9,0)*Paramètres!$C$10+MAX(MIN(Paramètres!$B$11,(O8+MAX(P8,0)+MAX(Q8+Y8,0)+R8)/T8)-Paramètres!$B$10,0)*Paramètres!$C$11+MAX(MIN(Paramètres!$B$12,(O8+MAX(P8,0)+MAX(Q8+Y8,0)+R8)/T8)-Paramètres!$B$11,0)*Paramètres!$C$12+MAX(MIN(Paramètres!$B$13,(O8+MAX(P8,0)+MAX(Q8+Y8,0)+R8)/T8)-Paramètres!$B$12,0)*Paramètres!$C$13)*T8</f>
        <v>26361.01</v>
      </c>
      <c r="AA8" s="108">
        <f>(MAX(MIN(Paramètres!$B$9,(O8+MAX(P8,0)+MAX(Q8+Y8,0)+R8)/U8),0)*Paramètres!$C$9+MAX(MIN(Paramètres!$B$10,(O8+MAX(P8,0)+MAX(Q8+Y8,0)+R8)/U8)-Paramètres!$B$9,0)*Paramètres!$C$10+MAX(MIN(Paramètres!$B$11,(O8+MAX(P8,0)+MAX(Q8+Y8,0)+R8)/U8)-Paramètres!$B$10,0)*Paramètres!$C$11+MAX(MIN(Paramètres!$B$12,(O8+MAX(P8,0)+MAX(Q8+Y8,0)+R8)/U8)-Paramètres!$B$11,0)*Paramètres!$C$12+MAX(MIN(Paramètres!$B$13,(O8+MAX(P8,0)+MAX(Q8+Y8,0)+R8)/U8)-Paramètres!$B$12,0)*Paramètres!$C$13)*U8</f>
        <v>26361.01</v>
      </c>
      <c r="AB8" s="108">
        <f>MAX(Z8,AA8-Paramètres!$E$13*(T8-U8)*2)+MAX(P8,0)*Paramètres!$E$9+MAX(Q8+Y8,0)*Paramètres!$E$9+MAX(R8*Paramètres!$E$12,Paramètres!$E$11)</f>
        <v>27506.01</v>
      </c>
      <c r="AC8" s="108">
        <f>AB8-X8</f>
        <v>0</v>
      </c>
      <c r="AD8" s="149">
        <f t="shared" ref="AD8:AD37" si="1">50%*C8</f>
        <v>6000</v>
      </c>
      <c r="AE8" s="108">
        <f>(MAX(MIN(Paramètres!$B$9,(O8+MAX(P8,0)+MAX(Q8+AD8,0)+R8)/T8),0)*Paramètres!$C$9+MAX(MIN(Paramètres!$B$10,(O8+MAX(P8,0)+MAX(Q8+AD8,0)+R8)/T8)-Paramètres!$B$9,0)*Paramètres!$C$10+MAX(MIN(Paramètres!$B$11,(O8+MAX(P8,0)+MAX(Q8+AD8,0)+R8)/T8)-Paramètres!$B$10,0)*Paramètres!$C$11+MAX(MIN(Paramètres!$B$12,(O8+MAX(P8,0)+MAX(Q8+AD8,0)+R8)/T8)-Paramètres!$B$11,0)*Paramètres!$C$12+MAX(MIN(Paramètres!$B$13,(O8+MAX(P8,0)+MAX(Q8+AD8,0)+R8)/T8)-Paramètres!$B$12,0)*Paramètres!$C$13)*T8</f>
        <v>28821.01</v>
      </c>
      <c r="AF8" s="108">
        <f>(MAX(MIN(Paramètres!$B$9,(O8+MAX(P8,0)+MAX(Q8+AD8,0)+R8)/U8),0)*Paramètres!$C$9+MAX(MIN(Paramètres!$B$10,(O8+MAX(P8,0)+MAX(Q8+AD8,0)+R8)/U8)-Paramètres!$B$9,0)*Paramètres!$C$10+MAX(MIN(Paramètres!$B$11,(O8+MAX(P8,0)+MAX(Q8+AD8,0)+R8)/U8)-Paramètres!$B$10,0)*Paramètres!$C$11+MAX(MIN(Paramètres!$B$12,(O8+MAX(P8,0)+MAX(Q8+AD8,0)+R8)/U8)-Paramètres!$B$11,0)*Paramètres!$C$12+MAX(MIN(Paramètres!$B$13,(O8+MAX(P8,0)+MAX(Q8+AD8,0)+R8)/U8)-Paramètres!$B$12,0)*Paramètres!$C$13)*U8</f>
        <v>28821.01</v>
      </c>
      <c r="AG8" s="108">
        <f>MAX(AE8,AF8-Paramètres!$E$13*(T8-U8)*2)+MAX(P8,0)*Paramètres!$E$9+MAX(Q8+AD8,0)*Paramètres!$E$9+MAX(R8*Paramètres!$E$12,Paramètres!$E$11)</f>
        <v>30998.01</v>
      </c>
      <c r="AH8" s="108">
        <f>AG8-X8</f>
        <v>3492</v>
      </c>
      <c r="AI8" s="149">
        <f>50%*C8</f>
        <v>6000</v>
      </c>
      <c r="AJ8" s="108">
        <f>(MAX(MIN(Paramètres!$B$9,(O8+MAX(P8,0)+MAX(Q8+AI8,0)+R8)/T8),0)*Paramètres!$C$9+MAX(MIN(Paramètres!$B$10,(O8+MAX(P8,0)+MAX(Q8+AI8,0)+R8)/T8)-Paramètres!$B$9,0)*Paramètres!$C$10+MAX(MIN(Paramètres!$B$11,(O8+MAX(P8,0)+MAX(Q8+AI8,0)+R8)/T8)-Paramètres!$B$10,0)*Paramètres!$C$11+MAX(MIN(Paramètres!$B$12,(O8+MAX(P8,0)+MAX(Q8+AI8,0)+R8)/T8)-Paramètres!$B$11,0)*Paramètres!$C$12+MAX(MIN(Paramètres!$B$13,(O8+MAX(P8,0)+MAX(Q8+AI8,0)+R8)/T8)-Paramètres!$B$12,0)*Paramètres!$C$13)*T8</f>
        <v>28821.01</v>
      </c>
      <c r="AK8" s="108">
        <f>(MAX(MIN(Paramètres!$B$9,(O8+MAX(P8,0)+MAX(Q8+AI8,0)+R8)/U8),0)*Paramètres!$C$9+MAX(MIN(Paramètres!$B$10,(O8+MAX(P8,0)+MAX(Q8+AI8,0)+R8)/U8)-Paramètres!$B$9,0)*Paramètres!$C$10+MAX(MIN(Paramètres!$B$11,(O8+MAX(P8,0)+MAX(Q8+AI8,0)+R8)/U8)-Paramètres!$B$10,0)*Paramètres!$C$11+MAX(MIN(Paramètres!$B$12,(O8+MAX(P8,0)+MAX(Q8+AI8,0)+R8)/U8)-Paramètres!$B$11,0)*Paramètres!$C$12+MAX(MIN(Paramètres!$B$13,(O8+MAX(P8,0)+MAX(Q8+AI8,0)+R8)/U8)-Paramètres!$B$12,0)*Paramètres!$C$13)*U8</f>
        <v>28821.01</v>
      </c>
      <c r="AL8" s="108">
        <f>MAX(AJ8,AK8-Paramètres!$E$13*(T8-U8)*2)+MAX(P8,0)*Paramètres!$E$9+MAX(Q8+AI8,0)*Paramètres!$E$9+MAX(R8*Paramètres!$E$12,Paramètres!$E$11)</f>
        <v>30998.01</v>
      </c>
      <c r="AM8" s="150">
        <f>MAX(AL8-11%/9*Simulation!$C$7*(B8&lt;=9),0)-X8</f>
        <v>2025.3333333333321</v>
      </c>
      <c r="AN8" s="149">
        <f>MAX(MAX(C8-SUM(D8,Simulation!$C$11),0)-SUM(E8:H8,Simulation!$C$8),-MIN(SUM(O8:R8),Paramètres!$E$19+MAX(P8,0)))</f>
        <v>-10700</v>
      </c>
      <c r="AO8" s="108">
        <f>MIN(C8-SUM(D8:H8,Simulation!$C$8,Simulation!$C$11)-AN8,0)</f>
        <v>-22519.956584081563</v>
      </c>
      <c r="AP8" s="108">
        <f>SUM(AO8:AO8)</f>
        <v>-22519.956584081563</v>
      </c>
      <c r="AQ8" s="108">
        <f>IF(AN8&lt;0,AN8,MAX(AN8+AP8,0))</f>
        <v>-10700</v>
      </c>
      <c r="AR8" s="108">
        <f>AQ8-AN8</f>
        <v>0</v>
      </c>
      <c r="AS8" s="108">
        <f>(MAX(MIN(Paramètres!$B$9,(O8+P8+AQ8+MAX(Q8,0)+R8)/T8),0)*Paramètres!$C$9+MAX(MIN(Paramètres!$B$10,(O8+P8+AQ8+MAX(Q8,0)+R8)/T8)-Paramètres!$B$9,0)*Paramètres!$C$10+MAX(MIN(Paramètres!$B$11,(O8+P8+AQ8+MAX(Q8,0)+R8)/T8)-Paramètres!$B$10,0)*Paramètres!$C$11+MAX(MIN(Paramètres!$B$12,(O8+P8+AQ8+MAX(Q8,0)+R8)/T8)-Paramètres!$B$11,0)*Paramètres!$C$12+MAX(MIN(Paramètres!$B$13,(O8+P8+AQ8+MAX(Q8,0)+R8)/T8)-Paramètres!$B$12,0)*Paramètres!$C$13)*T8</f>
        <v>21974.01</v>
      </c>
      <c r="AT8" s="108">
        <f>(MAX(MIN(Paramètres!$B$9,(O8+P8+AQ8+MAX(Q8,0)+R8)/U8),0)*Paramètres!$C$9+MAX(MIN(Paramètres!$B$10,(O8+P8+AQ8+MAX(Q8,0)+R8)/U8)-Paramètres!$B$9,0)*Paramètres!$C$10+MAX(MIN(Paramètres!$B$11,(O8+P8+AQ8+MAX(Q8,0)+R8)/U8)-Paramètres!$B$10,0)*Paramètres!$C$11+MAX(MIN(Paramètres!$B$12,(O8+P8+AQ8+MAX(Q8,0)+R8)/U8)-Paramètres!$B$11,0)*Paramètres!$C$12+MAX(MIN(Paramètres!$B$13,(O8+P8+AQ8+MAX(Q8,0)+R8)/U8)-Paramètres!$B$12,0)*Paramètres!$C$13)*U8</f>
        <v>21974.01</v>
      </c>
      <c r="AU8" s="108">
        <f>MAX(AS8,AT8-Paramètres!$E$13*(T8-U8)*2)+MAX(P8+AQ8,0)*Paramètres!$E$9+MAX(Q8,0)*Paramètres!$E$9+MAX(R8*Paramètres!$E$12,Paramètres!$E$11)</f>
        <v>23119.01</v>
      </c>
      <c r="AV8" s="150">
        <f t="shared" ref="AV8:AV37" si="2">AU8-X8</f>
        <v>-4387</v>
      </c>
      <c r="AW8" s="108">
        <f t="shared" ref="AW8:AW37" si="3">70%*C8</f>
        <v>8400</v>
      </c>
      <c r="AX8" s="108">
        <f>(MAX(MIN(Paramètres!$B$9,(O8+MAX(P8+AW8,0)+MAX(Q8,0)+R8)/T8),0)*Paramètres!$C$9+MAX(MIN(Paramètres!$B$10,(O8+MAX(P8+AW8,0)+MAX(Q8,0)+R8)/T8)-Paramètres!$B$9,0)*Paramètres!$C$10+MAX(MIN(Paramètres!$B$11,(O8+MAX(P8+AW8,0)+MAX(Q8,0)+R8)/T8)-Paramètres!$B$10,0)*Paramètres!$C$11+MAX(MIN(Paramètres!$B$12,(O8+MAX(P8+AW8,0)+MAX(Q8,0)+R8)/T8)-Paramètres!$B$11,0)*Paramètres!$C$12+MAX(MIN(Paramètres!$B$13,(O8+MAX(P8+AW8,0)+MAX(Q8,0)+R8)/T8)-Paramètres!$B$12,0)*Paramètres!$C$13)*T8</f>
        <v>29805.01</v>
      </c>
      <c r="AY8" s="108">
        <f>(MAX(MIN(Paramètres!$B$9,(O8+MAX(P8+AW8,0)+MAX(Q8,0)+R8)/U8),0)*Paramètres!$C$9+MAX(MIN(Paramètres!$B$10,(O8+MAX(P8+AW8,0)+MAX(Q8,0)+R8)/U8)-Paramètres!$B$9,0)*Paramètres!$C$10+MAX(MIN(Paramètres!$B$11,(O8+MAX(P8+AW8,0)+MAX(Q8,0)+R8)/U8)-Paramètres!$B$10,0)*Paramètres!$C$11+MAX(MIN(Paramètres!$B$12,(O8+MAX(P8+AW8,0)+MAX(Q8,0)+R8)/U8)-Paramètres!$B$11,0)*Paramètres!$C$12+MAX(MIN(Paramètres!$B$13,(O8+MAX(P8+AW8,0)+MAX(Q8,0)+R8)/U8)-Paramètres!$B$12,0)*Paramètres!$C$13)*U8</f>
        <v>29805.01</v>
      </c>
      <c r="AZ8" s="108">
        <f>MAX(AX8,AY8-Paramètres!$E$13*(T8-U8)*2)+MAX(P8+AW8,0)*Paramètres!$E$9+MAX(Q8,0)*Paramètres!$E$9+MAX(R8*Paramètres!$E$12,Paramètres!$E$11)</f>
        <v>32394.809999999998</v>
      </c>
      <c r="BA8" s="108">
        <f t="shared" ref="BA8:BA37" si="4">AZ8-X8</f>
        <v>4888.7999999999993</v>
      </c>
      <c r="BB8" s="149">
        <f>MAX(MAX(C8-SUM(D8,Simulation!$C$11),0)-SUM(E8:H8),-MIN(SUM(O8:R8),Paramètres!$E$19+MAX(P8,0)))</f>
        <v>2580.0434159184379</v>
      </c>
      <c r="BC8" s="108">
        <f>MIN(C8-SUM(D8:H8,Simulation!$C$11)-BB8,0)</f>
        <v>-9.0949470177292824E-13</v>
      </c>
      <c r="BD8" s="108">
        <f>SUM(BC8:BC8)</f>
        <v>-9.0949470177292824E-13</v>
      </c>
      <c r="BE8" s="108">
        <f>IF(BB8&lt;0,BB8,MAX(BB8+BD8,0))</f>
        <v>2580.0434159184369</v>
      </c>
      <c r="BF8" s="108">
        <f>BE8-BB8</f>
        <v>0</v>
      </c>
      <c r="BG8" s="108">
        <f>(MAX(MIN(Paramètres!$B$9,(O8+P8+BE8+MAX(Q8,0)+R8)/T8),0)*Paramètres!$C$9+MAX(MIN(Paramètres!$B$10,(O8+P8+BE8+MAX(Q8,0)+R8)/T8)-Paramètres!$B$9,0)*Paramètres!$C$10+MAX(MIN(Paramètres!$B$11,(O8+P8+BE8+MAX(Q8,0)+R8)/T8)-Paramètres!$B$10,0)*Paramètres!$C$11+MAX(MIN(Paramètres!$B$12,(O8+P8+BE8+MAX(Q8,0)+R8)/T8)-Paramètres!$B$11,0)*Paramètres!$C$12+MAX(MIN(Paramètres!$B$13,(O8+P8+BE8+MAX(Q8,0)+R8)/T8)-Paramètres!$B$12,0)*Paramètres!$C$13)*T8</f>
        <v>27418.82780052656</v>
      </c>
      <c r="BH8" s="108">
        <f>(MAX(MIN(Paramètres!$B$9,(O8+P8+BE8+MAX(Q8,0)+R8)/U8),0)*Paramètres!$C$9+MAX(MIN(Paramètres!$B$10,(O8+P8+BE8+MAX(Q8,0)+R8)/U8)-Paramètres!$B$9,0)*Paramètres!$C$10+MAX(MIN(Paramètres!$B$11,(O8+P8+BE8+MAX(Q8,0)+R8)/U8)-Paramètres!$B$10,0)*Paramètres!$C$11+MAX(MIN(Paramètres!$B$12,(O8+P8+BE8+MAX(Q8,0)+R8)/U8)-Paramètres!$B$11,0)*Paramètres!$C$12+MAX(MIN(Paramètres!$B$13,(O8+P8+BE8+MAX(Q8,0)+R8)/U8)-Paramètres!$B$12,0)*Paramètres!$C$13)*U8</f>
        <v>27418.82780052656</v>
      </c>
      <c r="BI8" s="108">
        <f>MAX(BG8,BH8-Paramètres!$E$13*(T8-U8)*2)+MAX(P8+BE8,0)*Paramètres!$E$9+MAX(Q8,0)*Paramètres!$E$9+MAX(R8*Paramètres!$E$12,Paramètres!$E$11)</f>
        <v>29007.595268064531</v>
      </c>
      <c r="BJ8" s="150">
        <f>MAX(BI8-IFERROR(VLOOKUP(B8,Paramètres!$B$28:$C$39,2,FALSE),0)*MIN(MIN((Simulation!$C$7+Simulation!$C$12+Simulation!$C$8+Simulation!$C$10)/Simulation!$C$28,Paramètres!$C$26)*Simulation!$C$28,Paramètres!$C$25),0)-X8</f>
        <v>-1532.914731935467</v>
      </c>
      <c r="BK8" s="108">
        <f>70%*C8</f>
        <v>8400</v>
      </c>
      <c r="BL8" s="108">
        <f>(MAX(MIN(Paramètres!$B$9,(O8+MAX(P8+BK8,0)+MAX(Q8,0)+R8)/T8),0)*Paramètres!$C$9+MAX(MIN(Paramètres!$B$10,(O8+MAX(P8+BK8,0)+MAX(Q8,0)+R8)/T8)-Paramètres!$B$9,0)*Paramètres!$C$10+MAX(MIN(Paramètres!$B$11,(O8+MAX(P8+BK8,0)+MAX(Q8,0)+R8)/T8)-Paramètres!$B$10,0)*Paramètres!$C$11+MAX(MIN(Paramètres!$B$12,(O8+MAX(P8+BK8,0)+MAX(Q8,0)+R8)/T8)-Paramètres!$B$11,0)*Paramètres!$C$12+MAX(MIN(Paramètres!$B$13,(O8+MAX(P8+BK8,0)+MAX(Q8,0)+R8)/T8)-Paramètres!$B$12,0)*Paramètres!$C$13)*T8</f>
        <v>29805.01</v>
      </c>
      <c r="BM8" s="108">
        <f>(MAX(MIN(Paramètres!$B$9,(O8+MAX(P8+BK8,0)+MAX(Q8,0)+R8)/U8),0)*Paramètres!$C$9+MAX(MIN(Paramètres!$B$10,(O8+MAX(P8+BK8,0)+MAX(Q8,0)+R8)/U8)-Paramètres!$B$9,0)*Paramètres!$C$10+MAX(MIN(Paramètres!$B$11,(O8+MAX(P8+BK8,0)+MAX(Q8,0)+R8)/U8)-Paramètres!$B$10,0)*Paramètres!$C$11+MAX(MIN(Paramètres!$B$12,(O8+MAX(P8+BK8,0)+MAX(Q8,0)+R8)/U8)-Paramètres!$B$11,0)*Paramètres!$C$12+MAX(MIN(Paramètres!$B$13,(O8+MAX(P8+BK8,0)+MAX(Q8,0)+R8)/U8)-Paramètres!$B$12,0)*Paramètres!$C$13)*U8</f>
        <v>29805.01</v>
      </c>
      <c r="BN8" s="108">
        <f>MAX(BL8,BM8-Paramètres!$E$13*(T8-U8)*2)+MAX(P8+BK8,0)*Paramètres!$E$9+MAX(Q8,0)*Paramètres!$E$9+MAX(R8*Paramètres!$E$12,Paramètres!$E$11)</f>
        <v>32394.809999999998</v>
      </c>
      <c r="BO8" s="108">
        <f>MAX(BN8-IFERROR(VLOOKUP(B8,Paramètres!$B$28:$C$39,2,FALSE),0)*MIN(MIN((Simulation!$C$7+Simulation!$C$12+Simulation!$C$8+Simulation!$C$10)/Simulation!$C$28,Paramètres!$C$26)*Simulation!$C$28,Paramètres!$C$25),0)-X8</f>
        <v>1854.2999999999993</v>
      </c>
      <c r="BP8" s="126">
        <f>MAX(MAX(C8-SUM(I8:N8),0)-SUM(D8:H8),-SUM(O8:R8))</f>
        <v>-6419.9565840815621</v>
      </c>
      <c r="BQ8" s="108">
        <f>MIN(C8-SUM(D8:N8)-BP8,0)</f>
        <v>-2548.0000000000009</v>
      </c>
      <c r="BR8" s="108">
        <f>SUM($BQ$8:BQ8)</f>
        <v>-2548.0000000000009</v>
      </c>
      <c r="BS8" s="108">
        <f>IF(BP8&lt;0,BP8,MAX(BP8+BR8,0))</f>
        <v>-6419.9565840815621</v>
      </c>
      <c r="BT8" s="108">
        <f>BS8-BP8</f>
        <v>0</v>
      </c>
      <c r="BU8" s="108">
        <f>(MAX(MIN(Paramètres!$B$9,(O8+MAX(P8,0)+MAX(Q8,0)+R8+BS8)/T8),0)*Paramètres!$C$9+MAX(MIN(Paramètres!$B$10,(O8+MAX(P8,0)+MAX(Q8,0)+R8+BS8)/T8)-Paramètres!$B$9,0)*Paramètres!$C$10+MAX(MIN(Paramètres!$B$11,(O8+MAX(P8,0)+MAX(Q8,0)+R8+BS8)/T8)-Paramètres!$B$10,0)*Paramètres!$C$11+MAX(MIN(Paramètres!$B$12,(O8+MAX(P8,0)+MAX(Q8,0)+R8+BS8)/T8)-Paramètres!$B$11,0)*Paramètres!$C$12+MAX(MIN(Paramètres!$B$13,(O8+MAX(P8,0)+MAX(Q8,0)+R8+BS8)/T8)-Paramètres!$B$12,0)*Paramètres!$C$13)*T8</f>
        <v>23728.827800526557</v>
      </c>
      <c r="BV8" s="108">
        <f>(MAX(MIN(Paramètres!$B$9,(O8+MAX(P8,0)+MAX(Q8,0)+R8+BS8)/U8),0)*Paramètres!$C$9+MAX(MIN(Paramètres!$B$10,(O8+MAX(P8,0)+MAX(Q8,0)+R8+BS8)/U8)-Paramètres!$B$9,0)*Paramètres!$C$10+MAX(MIN(Paramètres!$B$11,(O8+MAX(P8,0)+MAX(Q8,0)+R8+BS8)/U8)-Paramètres!$B$10,0)*Paramètres!$C$11+MAX(MIN(Paramètres!$B$12,(O8+MAX(P8,0)+MAX(Q8,0)+R8+BS8)/U8)-Paramètres!$B$11,0)*Paramètres!$C$12+MAX(MIN(Paramètres!$B$13,(O8+MAX(P8,0)+MAX(Q8,0)+R8+BS8)/U8)-Paramètres!$B$12,0)*Paramètres!$C$13)*U8</f>
        <v>23728.827800526557</v>
      </c>
      <c r="BW8" s="108">
        <f>MAX(BU8,BV8-Paramètres!$E$13*(T8-U8)*2)+MAX(P8,0)*Paramètres!$E$9+MAX(Q8,0)*Paramètres!$E$9+MAX((R8+BS8)*Paramètres!$E$12,Paramètres!$E$11)</f>
        <v>24873.827800526557</v>
      </c>
      <c r="BX8" s="108">
        <f>BW8-X8</f>
        <v>-2632.1821994734419</v>
      </c>
      <c r="BY8" s="149">
        <f>(C8-SUM(D8:N8)+MIN(BY7,0))*(B8&lt;=Simulation!$F$24)</f>
        <v>-8967.9565840815631</v>
      </c>
      <c r="BZ8" s="108">
        <f>(Simulation!$F$22-(Simulation!$C$13-SUM($I$8:$N$37)))*(B8=Simulation!$F$24)</f>
        <v>0</v>
      </c>
      <c r="CA8" s="108">
        <f>MAX(MIN(BY8+BZ8,Paramètres!$B$17)*Paramètres!$C$17+MAX(MIN(BY8+BZ8,Paramètres!$B$18)-Paramètres!$B$17,0)*Paramètres!$C$18+MAX(MIN(BY8+BZ8,Paramètres!$B$19)-Paramètres!$B$18,0)*Paramètres!$C$19,0)</f>
        <v>0</v>
      </c>
      <c r="CB8" s="150">
        <f>MAX(MIN(BY8,Paramètres!$B$17)*Paramètres!$C$17+MAX(MIN(BY8,Paramètres!$B$18)-Paramètres!$B$17,0)*Paramètres!$C$18+MAX(MIN(BY8,Paramètres!$B$19)-Paramètres!$B$18,0)*Paramètres!$C$19,0)</f>
        <v>0</v>
      </c>
      <c r="CC8" s="108">
        <f>(C8-SUM(D8:N8)+MIN(CC7,0))*(B8&lt;=Simulation!$F$24)</f>
        <v>-8967.9565840815631</v>
      </c>
      <c r="CD8" s="108">
        <f>(Simulation!$F$22-(Simulation!$C$13-SUM($I$8:$N$37)))*(B8=Simulation!$F$24)</f>
        <v>0</v>
      </c>
      <c r="CE8" s="108">
        <f>MAX(MIN(CC8+CD8,Paramètres!$B$17)*Paramètres!$C$17+MAX(MIN(CC8+CD8,Paramètres!$B$18)-Paramètres!$B$17,0)*Paramètres!$C$18+MAX(MIN(CC8+CD8,Paramètres!$B$19)-Paramètres!$B$18,0)*Paramètres!$C$19,0)</f>
        <v>0</v>
      </c>
      <c r="CF8" s="108">
        <f>MAX(MIN(CC8,Paramètres!$B$17)*Paramètres!$C$17+MAX(MIN(CC8,Paramètres!$B$18)-Paramètres!$B$17,0)*Paramètres!$C$18+MAX(MIN(CC8,Paramètres!$B$19)-Paramètres!$B$18,0)*Paramètres!$C$19,0)</f>
        <v>0</v>
      </c>
      <c r="CG8" s="108">
        <f>MAX(CC8+CD8-CF8,0)*(1-Paramètres!$E$17)*Paramètres!$E$18</f>
        <v>0</v>
      </c>
      <c r="CH8" s="54">
        <f>MAX(CC8-CF8,0)*(1-Paramètres!$E$17)*Paramètres!$E$18</f>
        <v>0</v>
      </c>
      <c r="CI8" s="127">
        <f ca="1">OFFSET($AC8,0,VLOOKUP(Simulation!$C$27,Simulation!$Q$5:$R$14,2,FALSE))</f>
        <v>0</v>
      </c>
      <c r="CK8" s="167"/>
      <c r="CL8" s="167"/>
      <c r="CM8" s="167"/>
      <c r="CN8" s="167"/>
      <c r="CO8" s="167"/>
      <c r="CP8" s="167"/>
      <c r="CQ8" s="167"/>
      <c r="CR8" s="167"/>
      <c r="CS8" s="167"/>
      <c r="CT8" s="167"/>
      <c r="CU8" s="167"/>
      <c r="CV8" s="167"/>
    </row>
    <row r="9" spans="2:100" x14ac:dyDescent="0.2">
      <c r="B9" s="40">
        <f t="shared" si="0"/>
        <v>2</v>
      </c>
      <c r="C9" s="143">
        <f>SUMPRODUCT('Détail trésorerie'!$H$8:$H$367*('Détail trésorerie'!$B$8:$B$367&gt;$B8*12)*('Détail trésorerie'!$B$8:$B$367&lt;=$B9*12))</f>
        <v>12120</v>
      </c>
      <c r="D9" s="126">
        <f>SUMPRODUCT('Détail trésorerie'!$E$8:$E$367*('Détail trésorerie'!$B$8:$B$367&gt;$B8*12)*('Détail trésorerie'!$B$8:$B$367&lt;=$B9*12))</f>
        <v>2506.7508276564254</v>
      </c>
      <c r="E9" s="144">
        <f>SUMPRODUCT('Détail trésorerie'!$J$8:$J$367*('Détail trésorerie'!$B$8:$B$367&gt;$B8*12)*('Détail trésorerie'!$B$8:$B$367&lt;=$B9*12))</f>
        <v>1515</v>
      </c>
      <c r="F9" s="144">
        <f>SUMPRODUCT('Détail trésorerie'!$K$8:$K$367*('Détail trésorerie'!$B$8:$B$367&gt;$B8*12)*('Détail trésorerie'!$B$8:$B$367&lt;=$B9*12))</f>
        <v>1252.4000000000001</v>
      </c>
      <c r="G9" s="144">
        <f>SUMPRODUCT('Détail trésorerie'!$L$8:$L$367*('Détail trésorerie'!$B$8:$B$367&gt;$B8*12)*('Détail trésorerie'!$B$8:$B$367&lt;=$B9*12))</f>
        <v>606</v>
      </c>
      <c r="H9" s="145">
        <f>SUMPRODUCT('Détail trésorerie'!$M$8:$M$367*('Détail trésorerie'!$B$8:$B$367&gt;$B8*12)*('Détail trésorerie'!$B$8:$B$367&lt;=$B9*12))</f>
        <v>457.79999999999995</v>
      </c>
      <c r="I9" s="126">
        <f>MAX(MIN(Paramètres!$E$3*Simulation!$C$7*Paramètres!$C$3,Simulation!$C$7*Paramètres!$E$3-SUM(I$8:$I8)),0)*(B9&lt;=Simulation!$F$24)</f>
        <v>0</v>
      </c>
      <c r="J9" s="108">
        <f>MAX(MIN(Paramètres!$E$4*Simulation!$C$7*Paramètres!$C$4,Simulation!$C$7*Paramètres!$E$4-SUM($J$8:J8)),0)*(B9&lt;=Simulation!$F$24)</f>
        <v>2700</v>
      </c>
      <c r="K9" s="108">
        <f>MAX(MIN(Paramètres!$E$5*Simulation!$C$8*Paramètres!$C$5,Paramètres!$E$5*Simulation!$C$8-SUM($K$8:K8)),0)*(B9&lt;=Simulation!$F$24)</f>
        <v>2148</v>
      </c>
      <c r="L9" s="108">
        <v>0</v>
      </c>
      <c r="M9" s="108">
        <v>0</v>
      </c>
      <c r="N9" s="108">
        <f>MAX(MIN(Paramètres!$C$6*(Simulation!$C$10+Simulation!$C$11+Simulation!$C$12),(Simulation!$C$10+Simulation!$C$11+Simulation!$C$12)-SUM(N$8:N8)),0)*(B9&lt;=Simulation!$F$24)</f>
        <v>4120</v>
      </c>
      <c r="O9" s="148">
        <f>25000*8/2*(1+Emprunteur!$F$7)^$B9</f>
        <v>102010</v>
      </c>
      <c r="P9" s="165">
        <f>0*(1+Emprunteur!$F$8)^$B9</f>
        <v>0</v>
      </c>
      <c r="Q9" s="165">
        <f>0*(1+Emprunteur!$F$9)^$B9</f>
        <v>0</v>
      </c>
      <c r="R9" s="165">
        <f>0*(1+Emprunteur!$F$10)^$B9</f>
        <v>0</v>
      </c>
      <c r="S9" s="108">
        <f t="shared" ref="S9:S36" si="5">O9+MAX(P9,0)+MAX(Q9,0)+R9</f>
        <v>102010</v>
      </c>
      <c r="T9" s="157">
        <v>1</v>
      </c>
      <c r="U9" s="157">
        <v>1</v>
      </c>
      <c r="V9" s="108">
        <f>(MAX(MIN(Paramètres!$B$9,S9/T9),0)*Paramètres!$C$9+MAX(MIN(Paramètres!$B$10,S9/T9)-Paramètres!$B$9,0)*Paramètres!$C$10+MAX(MIN(Paramètres!$B$11,S9/T9)-Paramètres!$B$10,0)*Paramètres!$C$11+MAX(MIN(Paramètres!$B$12,S9/T9)-Paramètres!$B$11,0)*Paramètres!$C$12+MAX(MIN(Paramètres!$B$13,S9/T9)-Paramètres!$B$12,0)*Paramètres!$C$13)*T9</f>
        <v>26775.11</v>
      </c>
      <c r="W9" s="108">
        <f>(MAX(MIN(Paramètres!$B$9,S9/U9),0)*Paramètres!$C$9+MAX(MIN(Paramètres!$B$10,S9/U9)-Paramètres!$B$9,0)*Paramètres!$C$10+MAX(MIN(Paramètres!$B$11,S9/U9)-Paramètres!$B$10,0)*Paramètres!$C$11+MAX(MIN(Paramètres!$B$12,S9/U9)-Paramètres!$B$11,0)*Paramètres!$C$12+MAX(MIN(Paramètres!$B$13,S9/U9)-Paramètres!$B$12,0)*Paramètres!$C$13)*U9</f>
        <v>26775.11</v>
      </c>
      <c r="X9" s="108">
        <f>MAX(V9,W9-Paramètres!$E$13*(T9-U9)*2)+MAX(P9,0)*Paramètres!$E$9+MAX(Q9,0)*Paramètres!$E$9+MAX(R9*Paramètres!$E$12,Paramètres!$E$11)</f>
        <v>27920.11</v>
      </c>
      <c r="Y9" s="126">
        <f>(C9-SUM(D9:N9)+MIN(Y8,0))*(B9&lt;=Simulation!$F$24)</f>
        <v>-12153.90741173799</v>
      </c>
      <c r="Z9" s="108">
        <f>(MAX(MIN(Paramètres!$B$9,(O9+MAX(P9,0)+MAX(Q9+Y9,0)+R9)/T9),0)*Paramètres!$C$9+MAX(MIN(Paramètres!$B$10,(O9+MAX(P9,0)+MAX(Q9+Y9,0)+R9)/T9)-Paramètres!$B$9,0)*Paramètres!$C$10+MAX(MIN(Paramètres!$B$11,(O9+MAX(P9,0)+MAX(Q9+Y9,0)+R9)/T9)-Paramètres!$B$10,0)*Paramètres!$C$11+MAX(MIN(Paramètres!$B$12,(O9+MAX(P9,0)+MAX(Q9+Y9,0)+R9)/T9)-Paramètres!$B$11,0)*Paramètres!$C$12+MAX(MIN(Paramètres!$B$13,(O9+MAX(P9,0)+MAX(Q9+Y9,0)+R9)/T9)-Paramètres!$B$12,0)*Paramètres!$C$13)*T9</f>
        <v>26775.11</v>
      </c>
      <c r="AA9" s="108">
        <f>(MAX(MIN(Paramètres!$B$9,(O9+MAX(P9,0)+MAX(Q9+Y9,0)+R9)/U9),0)*Paramètres!$C$9+MAX(MIN(Paramètres!$B$10,(O9+MAX(P9,0)+MAX(Q9+Y9,0)+R9)/U9)-Paramètres!$B$9,0)*Paramètres!$C$10+MAX(MIN(Paramètres!$B$11,(O9+MAX(P9,0)+MAX(Q9+Y9,0)+R9)/U9)-Paramètres!$B$10,0)*Paramètres!$C$11+MAX(MIN(Paramètres!$B$12,(O9+MAX(P9,0)+MAX(Q9+Y9,0)+R9)/U9)-Paramètres!$B$11,0)*Paramètres!$C$12+MAX(MIN(Paramètres!$B$13,(O9+MAX(P9,0)+MAX(Q9+Y9,0)+R9)/U9)-Paramètres!$B$12,0)*Paramètres!$C$13)*U9</f>
        <v>26775.11</v>
      </c>
      <c r="AB9" s="108">
        <f>MAX(Z9,AA9-Paramètres!$E$13*(T9-U9)*2)+MAX(P9,0)*Paramètres!$E$9+MAX(Q9+Y9,0)*Paramètres!$E$9+MAX(R9*Paramètres!$E$12,Paramètres!$E$11)</f>
        <v>27920.11</v>
      </c>
      <c r="AC9" s="108">
        <f t="shared" ref="AC9:AC37" si="6">AB9-X9</f>
        <v>0</v>
      </c>
      <c r="AD9" s="149">
        <f t="shared" si="1"/>
        <v>6060</v>
      </c>
      <c r="AE9" s="108">
        <f>(MAX(MIN(Paramètres!$B$9,(O9+MAX(P9,0)+MAX(Q9+AD9,0)+R9)/T9),0)*Paramètres!$C$9+MAX(MIN(Paramètres!$B$10,(O9+MAX(P9,0)+MAX(Q9+AD9,0)+R9)/T9)-Paramètres!$B$9,0)*Paramètres!$C$10+MAX(MIN(Paramètres!$B$11,(O9+MAX(P9,0)+MAX(Q9+AD9,0)+R9)/T9)-Paramètres!$B$10,0)*Paramètres!$C$11+MAX(MIN(Paramètres!$B$12,(O9+MAX(P9,0)+MAX(Q9+AD9,0)+R9)/T9)-Paramètres!$B$11,0)*Paramètres!$C$12+MAX(MIN(Paramètres!$B$13,(O9+MAX(P9,0)+MAX(Q9+AD9,0)+R9)/T9)-Paramètres!$B$12,0)*Paramètres!$C$13)*T9</f>
        <v>29259.71</v>
      </c>
      <c r="AF9" s="108">
        <f>(MAX(MIN(Paramètres!$B$9,(O9+MAX(P9,0)+MAX(Q9+AD9,0)+R9)/U9),0)*Paramètres!$C$9+MAX(MIN(Paramètres!$B$10,(O9+MAX(P9,0)+MAX(Q9+AD9,0)+R9)/U9)-Paramètres!$B$9,0)*Paramètres!$C$10+MAX(MIN(Paramètres!$B$11,(O9+MAX(P9,0)+MAX(Q9+AD9,0)+R9)/U9)-Paramètres!$B$10,0)*Paramètres!$C$11+MAX(MIN(Paramètres!$B$12,(O9+MAX(P9,0)+MAX(Q9+AD9,0)+R9)/U9)-Paramètres!$B$11,0)*Paramètres!$C$12+MAX(MIN(Paramètres!$B$13,(O9+MAX(P9,0)+MAX(Q9+AD9,0)+R9)/U9)-Paramètres!$B$12,0)*Paramètres!$C$13)*U9</f>
        <v>29259.71</v>
      </c>
      <c r="AG9" s="108">
        <f>MAX(AE9,AF9-Paramètres!$E$13*(T9-U9)*2)+MAX(P9,0)*Paramètres!$E$9+MAX(Q9+AD9,0)*Paramètres!$E$9+MAX(R9*Paramètres!$E$12,Paramètres!$E$11)</f>
        <v>31447.03</v>
      </c>
      <c r="AH9" s="150">
        <f t="shared" ref="AH9:AH37" si="7">AG9-X9</f>
        <v>3526.9199999999983</v>
      </c>
      <c r="AI9" s="149">
        <f t="shared" ref="AI9:AI37" si="8">50%*C9</f>
        <v>6060</v>
      </c>
      <c r="AJ9" s="108">
        <f>(MAX(MIN(Paramètres!$B$9,(O9+MAX(P9,0)+MAX(Q9+AI9,0)+R9)/T9),0)*Paramètres!$C$9+MAX(MIN(Paramètres!$B$10,(O9+MAX(P9,0)+MAX(Q9+AI9,0)+R9)/T9)-Paramètres!$B$9,0)*Paramètres!$C$10+MAX(MIN(Paramètres!$B$11,(O9+MAX(P9,0)+MAX(Q9+AI9,0)+R9)/T9)-Paramètres!$B$10,0)*Paramètres!$C$11+MAX(MIN(Paramètres!$B$12,(O9+MAX(P9,0)+MAX(Q9+AI9,0)+R9)/T9)-Paramètres!$B$11,0)*Paramètres!$C$12+MAX(MIN(Paramètres!$B$13,(O9+MAX(P9,0)+MAX(Q9+AI9,0)+R9)/T9)-Paramètres!$B$12,0)*Paramètres!$C$13)*T9</f>
        <v>29259.71</v>
      </c>
      <c r="AK9" s="108">
        <f>(MAX(MIN(Paramètres!$B$9,(O9+MAX(P9,0)+MAX(Q9+AI9,0)+R9)/U9),0)*Paramètres!$C$9+MAX(MIN(Paramètres!$B$10,(O9+MAX(P9,0)+MAX(Q9+AI9,0)+R9)/U9)-Paramètres!$B$9,0)*Paramètres!$C$10+MAX(MIN(Paramètres!$B$11,(O9+MAX(P9,0)+MAX(Q9+AI9,0)+R9)/U9)-Paramètres!$B$10,0)*Paramètres!$C$11+MAX(MIN(Paramètres!$B$12,(O9+MAX(P9,0)+MAX(Q9+AI9,0)+R9)/U9)-Paramètres!$B$11,0)*Paramètres!$C$12+MAX(MIN(Paramètres!$B$13,(O9+MAX(P9,0)+MAX(Q9+AI9,0)+R9)/U9)-Paramètres!$B$12,0)*Paramètres!$C$13)*U9</f>
        <v>29259.71</v>
      </c>
      <c r="AL9" s="108">
        <f>MAX(AJ9,AK9-Paramètres!$E$13*(T9-U9)*2)+MAX(P9,0)*Paramètres!$E$9+MAX(Q9+AI9,0)*Paramètres!$E$9+MAX(R9*Paramètres!$E$12,Paramètres!$E$11)</f>
        <v>31447.03</v>
      </c>
      <c r="AM9" s="150">
        <f>MAX(AL9-11%/9*Simulation!$C$7*(B9&lt;=9),0)-X9</f>
        <v>2060.2533333333304</v>
      </c>
      <c r="AN9" s="149">
        <f>MAX(MAX(C9-D9,0)-SUM(E9:H9),-MIN(SUM(O9:R9),Paramètres!$E$19+MAX(P9,0)))</f>
        <v>5782.0491723435744</v>
      </c>
      <c r="AO9" s="108">
        <f>MIN(C9-SUM(D9:H9)-AN9,0)</f>
        <v>0</v>
      </c>
      <c r="AP9" s="108">
        <f>MIN(SUM($AO$8:AO9)-SUM($AR$8:AR8),0)</f>
        <v>-22519.956584081563</v>
      </c>
      <c r="AQ9" s="108">
        <f t="shared" ref="AQ9:AQ37" si="9">IF(AN9&lt;0,AN9,MAX(AN9+AP9,0))</f>
        <v>0</v>
      </c>
      <c r="AR9" s="108">
        <f t="shared" ref="AR9:AR37" si="10">AQ9-AN9</f>
        <v>-5782.0491723435744</v>
      </c>
      <c r="AS9" s="108">
        <f>(MAX(MIN(Paramètres!$B$9,(O9+P9+AQ9+MAX(Q9,0)+R9)/T9),0)*Paramètres!$C$9+MAX(MIN(Paramètres!$B$10,(O9+P9+AQ9+MAX(Q9,0)+R9)/T9)-Paramètres!$B$9,0)*Paramètres!$C$10+MAX(MIN(Paramètres!$B$11,(O9+P9+AQ9+MAX(Q9,0)+R9)/T9)-Paramètres!$B$10,0)*Paramètres!$C$11+MAX(MIN(Paramètres!$B$12,(O9+P9+AQ9+MAX(Q9,0)+R9)/T9)-Paramètres!$B$11,0)*Paramètres!$C$12+MAX(MIN(Paramètres!$B$13,(O9+P9+AQ9+MAX(Q9,0)+R9)/T9)-Paramètres!$B$12,0)*Paramètres!$C$13)*T9</f>
        <v>26775.11</v>
      </c>
      <c r="AT9" s="108">
        <f>(MAX(MIN(Paramètres!$B$9,(O9+P9+AQ9+MAX(Q9,0)+R9)/U9),0)*Paramètres!$C$9+MAX(MIN(Paramètres!$B$10,(O9+P9+AQ9+MAX(Q9,0)+R9)/U9)-Paramètres!$B$9,0)*Paramètres!$C$10+MAX(MIN(Paramètres!$B$11,(O9+P9+AQ9+MAX(Q9,0)+R9)/U9)-Paramètres!$B$10,0)*Paramètres!$C$11+MAX(MIN(Paramètres!$B$12,(O9+P9+AQ9+MAX(Q9,0)+R9)/U9)-Paramètres!$B$11,0)*Paramètres!$C$12+MAX(MIN(Paramètres!$B$13,(O9+P9+AQ9+MAX(Q9,0)+R9)/U9)-Paramètres!$B$12,0)*Paramètres!$C$13)*U9</f>
        <v>26775.11</v>
      </c>
      <c r="AU9" s="108">
        <f>MAX(AS9,AT9-Paramètres!$E$13*(T9-U9)*2)+MAX(P9+AQ9,0)*Paramètres!$E$9+MAX(Q9,0)*Paramètres!$E$9+MAX(R9*Paramètres!$E$12,Paramètres!$E$11)</f>
        <v>27920.11</v>
      </c>
      <c r="AV9" s="150">
        <f t="shared" si="2"/>
        <v>0</v>
      </c>
      <c r="AW9" s="108">
        <f t="shared" si="3"/>
        <v>8484</v>
      </c>
      <c r="AX9" s="108">
        <f>(MAX(MIN(Paramètres!$B$9,(O9+MAX(P9+AW9,0)+MAX(Q9,0)+R9)/T9),0)*Paramètres!$C$9+MAX(MIN(Paramètres!$B$10,(O9+MAX(P9+AW9,0)+MAX(Q9,0)+R9)/T9)-Paramètres!$B$9,0)*Paramètres!$C$10+MAX(MIN(Paramètres!$B$11,(O9+MAX(P9+AW9,0)+MAX(Q9,0)+R9)/T9)-Paramètres!$B$10,0)*Paramètres!$C$11+MAX(MIN(Paramètres!$B$12,(O9+MAX(P9+AW9,0)+MAX(Q9,0)+R9)/T9)-Paramètres!$B$11,0)*Paramètres!$C$12+MAX(MIN(Paramètres!$B$13,(O9+MAX(P9+AW9,0)+MAX(Q9,0)+R9)/T9)-Paramètres!$B$12,0)*Paramètres!$C$13)*T9</f>
        <v>30253.549999999996</v>
      </c>
      <c r="AY9" s="108">
        <f>(MAX(MIN(Paramètres!$B$9,(O9+MAX(P9+AW9,0)+MAX(Q9,0)+R9)/U9),0)*Paramètres!$C$9+MAX(MIN(Paramètres!$B$10,(O9+MAX(P9+AW9,0)+MAX(Q9,0)+R9)/U9)-Paramètres!$B$9,0)*Paramètres!$C$10+MAX(MIN(Paramètres!$B$11,(O9+MAX(P9+AW9,0)+MAX(Q9,0)+R9)/U9)-Paramètres!$B$10,0)*Paramètres!$C$11+MAX(MIN(Paramètres!$B$12,(O9+MAX(P9+AW9,0)+MAX(Q9,0)+R9)/U9)-Paramètres!$B$11,0)*Paramètres!$C$12+MAX(MIN(Paramètres!$B$13,(O9+MAX(P9+AW9,0)+MAX(Q9,0)+R9)/U9)-Paramètres!$B$12,0)*Paramètres!$C$13)*U9</f>
        <v>30253.549999999996</v>
      </c>
      <c r="AZ9" s="108">
        <f>MAX(AX9,AY9-Paramètres!$E$13*(T9-U9)*2)+MAX(P9+AW9,0)*Paramètres!$E$9+MAX(Q9,0)*Paramètres!$E$9+MAX(R9*Paramètres!$E$12,Paramètres!$E$11)</f>
        <v>32857.797999999995</v>
      </c>
      <c r="BA9" s="108">
        <f t="shared" si="4"/>
        <v>4937.6879999999946</v>
      </c>
      <c r="BB9" s="149">
        <f>MAX(MAX(C9-D9,0)-SUM(E9:H9),-MIN(SUM(O9:R9),Paramètres!$E$19+MAX(P9,0)))</f>
        <v>5782.0491723435744</v>
      </c>
      <c r="BC9" s="108">
        <f>MIN(C9-SUM(D9:H9)-BB9,0)</f>
        <v>0</v>
      </c>
      <c r="BD9" s="108">
        <f>MIN(SUM($BC$8:BC9)-SUM($BF$8:BF8),0)</f>
        <v>-9.0949470177292824E-13</v>
      </c>
      <c r="BE9" s="108">
        <f t="shared" ref="BE9:BE37" si="11">IF(BB9&lt;0,BB9,MAX(BB9+BD9,0))</f>
        <v>5782.0491723435734</v>
      </c>
      <c r="BF9" s="108">
        <f t="shared" ref="BF9:BF37" si="12">BE9-BB9</f>
        <v>0</v>
      </c>
      <c r="BG9" s="108">
        <f>(MAX(MIN(Paramètres!$B$9,(O9+P9+BE9+MAX(Q9,0)+R9)/T9),0)*Paramètres!$C$9+MAX(MIN(Paramètres!$B$10,(O9+P9+BE9+MAX(Q9,0)+R9)/T9)-Paramètres!$B$9,0)*Paramètres!$C$10+MAX(MIN(Paramètres!$B$11,(O9+P9+BE9+MAX(Q9,0)+R9)/T9)-Paramètres!$B$10,0)*Paramètres!$C$11+MAX(MIN(Paramètres!$B$12,(O9+P9+BE9+MAX(Q9,0)+R9)/T9)-Paramètres!$B$11,0)*Paramètres!$C$12+MAX(MIN(Paramètres!$B$13,(O9+P9+BE9+MAX(Q9,0)+R9)/T9)-Paramètres!$B$12,0)*Paramètres!$C$13)*T9</f>
        <v>29145.750160660864</v>
      </c>
      <c r="BH9" s="108">
        <f>(MAX(MIN(Paramètres!$B$9,(O9+P9+BE9+MAX(Q9,0)+R9)/U9),0)*Paramètres!$C$9+MAX(MIN(Paramètres!$B$10,(O9+P9+BE9+MAX(Q9,0)+R9)/U9)-Paramètres!$B$9,0)*Paramètres!$C$10+MAX(MIN(Paramètres!$B$11,(O9+P9+BE9+MAX(Q9,0)+R9)/U9)-Paramètres!$B$10,0)*Paramètres!$C$11+MAX(MIN(Paramètres!$B$12,(O9+P9+BE9+MAX(Q9,0)+R9)/U9)-Paramètres!$B$11,0)*Paramètres!$C$12+MAX(MIN(Paramètres!$B$13,(O9+P9+BE9+MAX(Q9,0)+R9)/U9)-Paramètres!$B$12,0)*Paramètres!$C$13)*U9</f>
        <v>29145.750160660864</v>
      </c>
      <c r="BI9" s="108">
        <f>MAX(BG9,BH9-Paramètres!$E$13*(T9-U9)*2)+MAX(P9+BE9,0)*Paramètres!$E$9+MAX(Q9,0)*Paramètres!$E$9+MAX(R9*Paramètres!$E$12,Paramètres!$E$11)</f>
        <v>31285.262618303957</v>
      </c>
      <c r="BJ9" s="150">
        <f>MAX(BI9-IFERROR(VLOOKUP(B9,Paramètres!$B$28:$C$39,2,FALSE),0)*MIN(MIN((Simulation!$C$7+Simulation!$C$12+Simulation!$C$8+Simulation!$C$10)/Simulation!$C$28,Paramètres!$C$26)*Simulation!$C$28,Paramètres!$C$25),0)-X9</f>
        <v>330.65261830395684</v>
      </c>
      <c r="BK9" s="108">
        <f t="shared" ref="BK9:BK37" si="13">70%*C9</f>
        <v>8484</v>
      </c>
      <c r="BL9" s="108">
        <f>(MAX(MIN(Paramètres!$B$9,(O9+MAX(P9+BK9,0)+MAX(Q9,0)+R9)/T9),0)*Paramètres!$C$9+MAX(MIN(Paramètres!$B$10,(O9+MAX(P9+BK9,0)+MAX(Q9,0)+R9)/T9)-Paramètres!$B$9,0)*Paramètres!$C$10+MAX(MIN(Paramètres!$B$11,(O9+MAX(P9+BK9,0)+MAX(Q9,0)+R9)/T9)-Paramètres!$B$10,0)*Paramètres!$C$11+MAX(MIN(Paramètres!$B$12,(O9+MAX(P9+BK9,0)+MAX(Q9,0)+R9)/T9)-Paramètres!$B$11,0)*Paramètres!$C$12+MAX(MIN(Paramètres!$B$13,(O9+MAX(P9+BK9,0)+MAX(Q9,0)+R9)/T9)-Paramètres!$B$12,0)*Paramètres!$C$13)*T9</f>
        <v>30253.549999999996</v>
      </c>
      <c r="BM9" s="108">
        <f>(MAX(MIN(Paramètres!$B$9,(O9+MAX(P9+BK9,0)+MAX(Q9,0)+R9)/U9),0)*Paramètres!$C$9+MAX(MIN(Paramètres!$B$10,(O9+MAX(P9+BK9,0)+MAX(Q9,0)+R9)/U9)-Paramètres!$B$9,0)*Paramètres!$C$10+MAX(MIN(Paramètres!$B$11,(O9+MAX(P9+BK9,0)+MAX(Q9,0)+R9)/U9)-Paramètres!$B$10,0)*Paramètres!$C$11+MAX(MIN(Paramètres!$B$12,(O9+MAX(P9+BK9,0)+MAX(Q9,0)+R9)/U9)-Paramètres!$B$11,0)*Paramètres!$C$12+MAX(MIN(Paramètres!$B$13,(O9+MAX(P9+BK9,0)+MAX(Q9,0)+R9)/U9)-Paramètres!$B$12,0)*Paramètres!$C$13)*U9</f>
        <v>30253.549999999996</v>
      </c>
      <c r="BN9" s="108">
        <f>MAX(BL9,BM9-Paramètres!$E$13*(T9-U9)*2)+MAX(P9+BK9,0)*Paramètres!$E$9+MAX(Q9,0)*Paramètres!$E$9+MAX(R9*Paramètres!$E$12,Paramètres!$E$11)</f>
        <v>32857.797999999995</v>
      </c>
      <c r="BO9" s="108">
        <f>MAX(BN9-IFERROR(VLOOKUP(B9,Paramètres!$B$28:$C$39,2,FALSE),0)*MIN(MIN((Simulation!$C$7+Simulation!$C$12+Simulation!$C$8+Simulation!$C$10)/Simulation!$C$28,Paramètres!$C$26)*Simulation!$C$28,Paramètres!$C$25),0)-X9</f>
        <v>1903.1879999999946</v>
      </c>
      <c r="BP9" s="126">
        <f t="shared" ref="BP9:BP37" si="14">MAX(MAX(C9-SUM(I9:N9),0)-SUM(D9:H9),-SUM(O9:R9))</f>
        <v>-3185.9508276564256</v>
      </c>
      <c r="BQ9" s="108">
        <f t="shared" ref="BQ9:BQ37" si="15">MIN(C9-SUM(D9:N9)-BP9,0)</f>
        <v>-9.0949470177292824E-13</v>
      </c>
      <c r="BR9" s="108">
        <f>MIN(SUM($BQ$8:BQ9)-SUM($BT$8:BT8),0)</f>
        <v>-2548.0000000000018</v>
      </c>
      <c r="BS9" s="108">
        <f>IF(BP9&lt;0,BP9,MAX(BP9+BR9,0))</f>
        <v>-3185.9508276564256</v>
      </c>
      <c r="BT9" s="108">
        <f t="shared" ref="BT9:BT37" si="16">BS9-BP9</f>
        <v>0</v>
      </c>
      <c r="BU9" s="108">
        <f>(MAX(MIN(Paramètres!$B$9,(O9+MAX(P9,0)+MAX(Q9,0)+R9+BS9)/T9),0)*Paramètres!$C$9+MAX(MIN(Paramètres!$B$10,(O9+MAX(P9,0)+MAX(Q9,0)+R9+BS9)/T9)-Paramètres!$B$9,0)*Paramètres!$C$10+MAX(MIN(Paramètres!$B$11,(O9+MAX(P9,0)+MAX(Q9,0)+R9+BS9)/T9)-Paramètres!$B$10,0)*Paramètres!$C$11+MAX(MIN(Paramètres!$B$12,(O9+MAX(P9,0)+MAX(Q9,0)+R9+BS9)/T9)-Paramètres!$B$11,0)*Paramètres!$C$12+MAX(MIN(Paramètres!$B$13,(O9+MAX(P9,0)+MAX(Q9,0)+R9+BS9)/T9)-Paramètres!$B$12,0)*Paramètres!$C$13)*T9</f>
        <v>25468.870160660863</v>
      </c>
      <c r="BV9" s="108">
        <f>(MAX(MIN(Paramètres!$B$9,(O9+MAX(P9,0)+MAX(Q9,0)+R9+BS9)/U9),0)*Paramètres!$C$9+MAX(MIN(Paramètres!$B$10,(O9+MAX(P9,0)+MAX(Q9,0)+R9+BS9)/U9)-Paramètres!$B$9,0)*Paramètres!$C$10+MAX(MIN(Paramètres!$B$11,(O9+MAX(P9,0)+MAX(Q9,0)+R9+BS9)/U9)-Paramètres!$B$10,0)*Paramètres!$C$11+MAX(MIN(Paramètres!$B$12,(O9+MAX(P9,0)+MAX(Q9,0)+R9+BS9)/U9)-Paramètres!$B$11,0)*Paramètres!$C$12+MAX(MIN(Paramètres!$B$13,(O9+MAX(P9,0)+MAX(Q9,0)+R9+BS9)/U9)-Paramètres!$B$12,0)*Paramètres!$C$13)*U9</f>
        <v>25468.870160660863</v>
      </c>
      <c r="BW9" s="108">
        <f>MAX(BU9,BV9-Paramètres!$E$13*(T9-U9)*2)+MAX(P9,0)*Paramètres!$E$9+MAX(Q9,0)*Paramètres!$E$9+MAX((R9+BS9)*Paramètres!$E$12,Paramètres!$E$11)</f>
        <v>26613.870160660863</v>
      </c>
      <c r="BX9" s="108">
        <f t="shared" ref="BX9:BX37" si="17">BW9-X9</f>
        <v>-1306.2398393391377</v>
      </c>
      <c r="BY9" s="149">
        <f>(C9-SUM(D9:N9)+MIN(BY8,0))*(B9&lt;=Simulation!$F$24)</f>
        <v>-12153.90741173799</v>
      </c>
      <c r="BZ9" s="108">
        <f>(Simulation!$F$22-(Simulation!$C$13-SUM($I$8:$N$37)))*(B9=Simulation!$F$24)</f>
        <v>0</v>
      </c>
      <c r="CA9" s="108">
        <f>MAX(MIN(BY9+BZ9,Paramètres!$B$17)*Paramètres!$C$17+MAX(MIN(BY9+BZ9,Paramètres!$B$18)-Paramètres!$B$17,0)*Paramètres!$C$18+MAX(MIN(BY9+BZ9,Paramètres!$B$19)-Paramètres!$B$18,0)*Paramètres!$C$19,0)</f>
        <v>0</v>
      </c>
      <c r="CB9" s="150">
        <f>MAX(MIN(BY9,Paramètres!$B$17)*Paramètres!$C$17+MAX(MIN(BY9,Paramètres!$B$18)-Paramètres!$B$17,0)*Paramètres!$C$18+MAX(MIN(BY9,Paramètres!$B$19)-Paramètres!$B$18,0)*Paramètres!$C$19,0)</f>
        <v>0</v>
      </c>
      <c r="CC9" s="108">
        <f>(C9-SUM(D9:N9)+MIN(CC8,0))*(B9&lt;=Simulation!$F$24)</f>
        <v>-12153.90741173799</v>
      </c>
      <c r="CD9" s="108">
        <f>(Simulation!$F$22-(Simulation!$C$13-SUM($I$8:$N$37)))*(B9=Simulation!$F$24)</f>
        <v>0</v>
      </c>
      <c r="CE9" s="108">
        <f>MAX(MIN(CC9+CD9,Paramètres!$B$17)*Paramètres!$C$17+MAX(MIN(CC9+CD9,Paramètres!$B$18)-Paramètres!$B$17,0)*Paramètres!$C$18+MAX(MIN(CC9+CD9,Paramètres!$B$19)-Paramètres!$B$18,0)*Paramètres!$C$19,0)</f>
        <v>0</v>
      </c>
      <c r="CF9" s="108">
        <f>MAX(MIN(CC9,Paramètres!$B$17)*Paramètres!$C$17+MAX(MIN(CC9,Paramètres!$B$18)-Paramètres!$B$17,0)*Paramètres!$C$18+MAX(MIN(CC9,Paramètres!$B$19)-Paramètres!$B$18,0)*Paramètres!$C$19,0)</f>
        <v>0</v>
      </c>
      <c r="CG9" s="108">
        <f>MAX(CC9+CD9-CF9,0)*(1-Paramètres!$E$17)*Paramètres!$E$18</f>
        <v>0</v>
      </c>
      <c r="CH9" s="54">
        <f>MAX(CC9-CF9,0)*(1-Paramètres!$E$17)*Paramètres!$E$18</f>
        <v>0</v>
      </c>
      <c r="CI9" s="127">
        <f ca="1">OFFSET($AC9,0,VLOOKUP(Simulation!$C$27,Simulation!$Q$5:$R$14,2,FALSE))</f>
        <v>0</v>
      </c>
      <c r="CK9" s="167"/>
      <c r="CL9" s="167"/>
      <c r="CM9" s="167"/>
      <c r="CN9" s="167"/>
      <c r="CO9" s="167"/>
      <c r="CP9" s="167"/>
      <c r="CQ9" s="167"/>
      <c r="CR9" s="167"/>
      <c r="CS9" s="167"/>
      <c r="CT9" s="167"/>
      <c r="CU9" s="167"/>
      <c r="CV9" s="167"/>
    </row>
    <row r="10" spans="2:100" x14ac:dyDescent="0.2">
      <c r="B10" s="40">
        <f t="shared" si="0"/>
        <v>3</v>
      </c>
      <c r="C10" s="143">
        <f>SUMPRODUCT('Détail trésorerie'!$H$8:$H$367*('Détail trésorerie'!$B$8:$B$367&gt;$B9*12)*('Détail trésorerie'!$B$8:$B$367&lt;=$B10*12))</f>
        <v>12241.200000000003</v>
      </c>
      <c r="D10" s="143">
        <f>SUMPRODUCT('Détail trésorerie'!$E$8:$E$367*('Détail trésorerie'!$B$8:$B$367&gt;$B9*12)*('Détail trésorerie'!$B$8:$B$367&lt;=$B10*12))</f>
        <v>2388.5869303822242</v>
      </c>
      <c r="E10" s="144">
        <f>SUMPRODUCT('Détail trésorerie'!$J$8:$J$367*('Détail trésorerie'!$B$8:$B$367&gt;$B9*12)*('Détail trésorerie'!$B$8:$B$367&lt;=$B10*12))</f>
        <v>1530.1500000000003</v>
      </c>
      <c r="F10" s="144">
        <f>SUMPRODUCT('Détail trésorerie'!$K$8:$K$367*('Détail trésorerie'!$B$8:$B$367&gt;$B9*12)*('Détail trésorerie'!$B$8:$B$367&lt;=$B10*12))</f>
        <v>1264.924</v>
      </c>
      <c r="G10" s="144">
        <f>SUMPRODUCT('Détail trésorerie'!$L$8:$L$367*('Détail trésorerie'!$B$8:$B$367&gt;$B9*12)*('Détail trésorerie'!$B$8:$B$367&lt;=$B10*12))</f>
        <v>612.06000000000006</v>
      </c>
      <c r="H10" s="145">
        <f>SUMPRODUCT('Détail trésorerie'!$M$8:$M$367*('Détail trésorerie'!$B$8:$B$367&gt;$B9*12)*('Détail trésorerie'!$B$8:$B$367&lt;=$B10*12))</f>
        <v>458.81000000000012</v>
      </c>
      <c r="I10" s="126">
        <f>MAX(MIN(Paramètres!$E$3*Simulation!$C$7*Paramètres!$C$3,Simulation!$C$7*Paramètres!$E$3-SUM(I$8:$I9)),0)*(B10&lt;=Simulation!$F$24)</f>
        <v>0</v>
      </c>
      <c r="J10" s="108">
        <f>MAX(MIN(Paramètres!$E$4*Simulation!$C$7*Paramètres!$C$4,Simulation!$C$7*Paramètres!$E$4-SUM($J$8:J9)),0)*(B10&lt;=Simulation!$F$24)</f>
        <v>2700</v>
      </c>
      <c r="K10" s="108">
        <f>MAX(MIN(Paramètres!$E$5*Simulation!$C$8*Paramètres!$C$5,Paramètres!$E$5*Simulation!$C$8-SUM($K$8:K9)),0)*(B10&lt;=Simulation!$F$24)</f>
        <v>2148</v>
      </c>
      <c r="L10" s="108">
        <v>0</v>
      </c>
      <c r="M10" s="108">
        <v>0</v>
      </c>
      <c r="N10" s="108">
        <f>MAX(MIN(Paramètres!$C$6*(Simulation!$C$10+Simulation!$C$11+Simulation!$C$12),(Simulation!$C$10+Simulation!$C$11+Simulation!$C$12)-SUM(N$8:N9)),0)*(B10&lt;=Simulation!$F$24)</f>
        <v>4120</v>
      </c>
      <c r="O10" s="148">
        <f>25000*8/2*(1+Emprunteur!$F$7)^$B10</f>
        <v>103030.09999999999</v>
      </c>
      <c r="P10" s="165">
        <f>0*(1+Emprunteur!$F$8)^$B10</f>
        <v>0</v>
      </c>
      <c r="Q10" s="165">
        <f>0*(1+Emprunteur!$F$9)^$B10</f>
        <v>0</v>
      </c>
      <c r="R10" s="165">
        <f>0*(1+Emprunteur!$F$10)^$B10</f>
        <v>0</v>
      </c>
      <c r="S10" s="108">
        <f t="shared" si="5"/>
        <v>103030.09999999999</v>
      </c>
      <c r="T10" s="157">
        <v>1</v>
      </c>
      <c r="U10" s="157">
        <v>1</v>
      </c>
      <c r="V10" s="108">
        <f>(MAX(MIN(Paramètres!$B$9,S10/T10),0)*Paramètres!$C$9+MAX(MIN(Paramètres!$B$10,S10/T10)-Paramètres!$B$9,0)*Paramètres!$C$10+MAX(MIN(Paramètres!$B$11,S10/T10)-Paramètres!$B$10,0)*Paramètres!$C$11+MAX(MIN(Paramètres!$B$12,S10/T10)-Paramètres!$B$11,0)*Paramètres!$C$12+MAX(MIN(Paramètres!$B$13,S10/T10)-Paramètres!$B$12,0)*Paramètres!$C$13)*T10</f>
        <v>27193.350999999995</v>
      </c>
      <c r="W10" s="108">
        <f>(MAX(MIN(Paramètres!$B$9,S10/U10),0)*Paramètres!$C$9+MAX(MIN(Paramètres!$B$10,S10/U10)-Paramètres!$B$9,0)*Paramètres!$C$10+MAX(MIN(Paramètres!$B$11,S10/U10)-Paramètres!$B$10,0)*Paramètres!$C$11+MAX(MIN(Paramètres!$B$12,S10/U10)-Paramètres!$B$11,0)*Paramètres!$C$12+MAX(MIN(Paramètres!$B$13,S10/U10)-Paramètres!$B$12,0)*Paramètres!$C$13)*U10</f>
        <v>27193.350999999995</v>
      </c>
      <c r="X10" s="108">
        <f>MAX(V10,W10-Paramètres!$E$13*(T10-U10)*2)+MAX(P10,0)*Paramètres!$E$9+MAX(Q10,0)*Paramètres!$E$9+MAX(R10*Paramètres!$E$12,Paramètres!$E$11)</f>
        <v>28338.350999999995</v>
      </c>
      <c r="Y10" s="126">
        <f>(C10-SUM(D10:N10)+MIN(Y9,0))*(B10&lt;=Simulation!$F$24)</f>
        <v>-15135.238342120212</v>
      </c>
      <c r="Z10" s="108">
        <f>(MAX(MIN(Paramètres!$B$9,(O10+MAX(P10,0)+MAX(Q10+Y10,0)+R10)/T10),0)*Paramètres!$C$9+MAX(MIN(Paramètres!$B$10,(O10+MAX(P10,0)+MAX(Q10+Y10,0)+R10)/T10)-Paramètres!$B$9,0)*Paramètres!$C$10+MAX(MIN(Paramètres!$B$11,(O10+MAX(P10,0)+MAX(Q10+Y10,0)+R10)/T10)-Paramètres!$B$10,0)*Paramètres!$C$11+MAX(MIN(Paramètres!$B$12,(O10+MAX(P10,0)+MAX(Q10+Y10,0)+R10)/T10)-Paramètres!$B$11,0)*Paramètres!$C$12+MAX(MIN(Paramètres!$B$13,(O10+MAX(P10,0)+MAX(Q10+Y10,0)+R10)/T10)-Paramètres!$B$12,0)*Paramètres!$C$13)*T10</f>
        <v>27193.350999999995</v>
      </c>
      <c r="AA10" s="108">
        <f>(MAX(MIN(Paramètres!$B$9,(O10+MAX(P10,0)+MAX(Q10+Y10,0)+R10)/U10),0)*Paramètres!$C$9+MAX(MIN(Paramètres!$B$10,(O10+MAX(P10,0)+MAX(Q10+Y10,0)+R10)/U10)-Paramètres!$B$9,0)*Paramètres!$C$10+MAX(MIN(Paramètres!$B$11,(O10+MAX(P10,0)+MAX(Q10+Y10,0)+R10)/U10)-Paramètres!$B$10,0)*Paramètres!$C$11+MAX(MIN(Paramètres!$B$12,(O10+MAX(P10,0)+MAX(Q10+Y10,0)+R10)/U10)-Paramètres!$B$11,0)*Paramètres!$C$12+MAX(MIN(Paramètres!$B$13,(O10+MAX(P10,0)+MAX(Q10+Y10,0)+R10)/U10)-Paramètres!$B$12,0)*Paramètres!$C$13)*U10</f>
        <v>27193.350999999995</v>
      </c>
      <c r="AB10" s="108">
        <f>MAX(Z10,AA10-Paramètres!$E$13*(T10-U10)*2)+MAX(P10,0)*Paramètres!$E$9+MAX(Q10+Y10,0)*Paramètres!$E$9+MAX(R10*Paramètres!$E$12,Paramètres!$E$11)</f>
        <v>28338.350999999995</v>
      </c>
      <c r="AC10" s="108">
        <f t="shared" si="6"/>
        <v>0</v>
      </c>
      <c r="AD10" s="149">
        <f t="shared" si="1"/>
        <v>6120.6000000000013</v>
      </c>
      <c r="AE10" s="108">
        <f>(MAX(MIN(Paramètres!$B$9,(O10+MAX(P10,0)+MAX(Q10+AD10,0)+R10)/T10),0)*Paramètres!$C$9+MAX(MIN(Paramètres!$B$10,(O10+MAX(P10,0)+MAX(Q10+AD10,0)+R10)/T10)-Paramètres!$B$9,0)*Paramètres!$C$10+MAX(MIN(Paramètres!$B$11,(O10+MAX(P10,0)+MAX(Q10+AD10,0)+R10)/T10)-Paramètres!$B$10,0)*Paramètres!$C$11+MAX(MIN(Paramètres!$B$12,(O10+MAX(P10,0)+MAX(Q10+AD10,0)+R10)/T10)-Paramètres!$B$11,0)*Paramètres!$C$12+MAX(MIN(Paramètres!$B$13,(O10+MAX(P10,0)+MAX(Q10+AD10,0)+R10)/T10)-Paramètres!$B$12,0)*Paramètres!$C$13)*T10</f>
        <v>29702.796999999999</v>
      </c>
      <c r="AF10" s="108">
        <f>(MAX(MIN(Paramètres!$B$9,(O10+MAX(P10,0)+MAX(Q10+AD10,0)+R10)/U10),0)*Paramètres!$C$9+MAX(MIN(Paramètres!$B$10,(O10+MAX(P10,0)+MAX(Q10+AD10,0)+R10)/U10)-Paramètres!$B$9,0)*Paramètres!$C$10+MAX(MIN(Paramètres!$B$11,(O10+MAX(P10,0)+MAX(Q10+AD10,0)+R10)/U10)-Paramètres!$B$10,0)*Paramètres!$C$11+MAX(MIN(Paramètres!$B$12,(O10+MAX(P10,0)+MAX(Q10+AD10,0)+R10)/U10)-Paramètres!$B$11,0)*Paramètres!$C$12+MAX(MIN(Paramètres!$B$13,(O10+MAX(P10,0)+MAX(Q10+AD10,0)+R10)/U10)-Paramètres!$B$12,0)*Paramètres!$C$13)*U10</f>
        <v>29702.796999999999</v>
      </c>
      <c r="AG10" s="108">
        <f>MAX(AE10,AF10-Paramètres!$E$13*(T10-U10)*2)+MAX(P10,0)*Paramètres!$E$9+MAX(Q10+AD10,0)*Paramètres!$E$9+MAX(R10*Paramètres!$E$12,Paramètres!$E$11)</f>
        <v>31900.540199999999</v>
      </c>
      <c r="AH10" s="150">
        <f>AG10-X10</f>
        <v>3562.1892000000043</v>
      </c>
      <c r="AI10" s="149">
        <f t="shared" si="8"/>
        <v>6120.6000000000013</v>
      </c>
      <c r="AJ10" s="108">
        <f>(MAX(MIN(Paramètres!$B$9,(O10+MAX(P10,0)+MAX(Q10+AI10,0)+R10)/T10),0)*Paramètres!$C$9+MAX(MIN(Paramètres!$B$10,(O10+MAX(P10,0)+MAX(Q10+AI10,0)+R10)/T10)-Paramètres!$B$9,0)*Paramètres!$C$10+MAX(MIN(Paramètres!$B$11,(O10+MAX(P10,0)+MAX(Q10+AI10,0)+R10)/T10)-Paramètres!$B$10,0)*Paramètres!$C$11+MAX(MIN(Paramètres!$B$12,(O10+MAX(P10,0)+MAX(Q10+AI10,0)+R10)/T10)-Paramètres!$B$11,0)*Paramètres!$C$12+MAX(MIN(Paramètres!$B$13,(O10+MAX(P10,0)+MAX(Q10+AI10,0)+R10)/T10)-Paramètres!$B$12,0)*Paramètres!$C$13)*T10</f>
        <v>29702.796999999999</v>
      </c>
      <c r="AK10" s="108">
        <f>(MAX(MIN(Paramètres!$B$9,(O10+MAX(P10,0)+MAX(Q10+AI10,0)+R10)/U10),0)*Paramètres!$C$9+MAX(MIN(Paramètres!$B$10,(O10+MAX(P10,0)+MAX(Q10+AI10,0)+R10)/U10)-Paramètres!$B$9,0)*Paramètres!$C$10+MAX(MIN(Paramètres!$B$11,(O10+MAX(P10,0)+MAX(Q10+AI10,0)+R10)/U10)-Paramètres!$B$10,0)*Paramètres!$C$11+MAX(MIN(Paramètres!$B$12,(O10+MAX(P10,0)+MAX(Q10+AI10,0)+R10)/U10)-Paramètres!$B$11,0)*Paramètres!$C$12+MAX(MIN(Paramètres!$B$13,(O10+MAX(P10,0)+MAX(Q10+AI10,0)+R10)/U10)-Paramètres!$B$12,0)*Paramètres!$C$13)*U10</f>
        <v>29702.796999999999</v>
      </c>
      <c r="AL10" s="108">
        <f>MAX(AJ10,AK10-Paramètres!$E$13*(T10-U10)*2)+MAX(P10,0)*Paramètres!$E$9+MAX(Q10+AI10,0)*Paramètres!$E$9+MAX(R10*Paramètres!$E$12,Paramètres!$E$11)</f>
        <v>31900.540199999999</v>
      </c>
      <c r="AM10" s="150">
        <f>MAX(AL10-11%/9*Simulation!$C$7*(B10&lt;=9),0)-X10</f>
        <v>2095.5225333333365</v>
      </c>
      <c r="AN10" s="149">
        <f>MAX(MAX(C10-D10,0)-SUM(E10:H10),-MIN(SUM(O10:R10),Paramètres!$E$19+MAX(P10,0)))</f>
        <v>5986.6690696177784</v>
      </c>
      <c r="AO10" s="108">
        <f t="shared" ref="AO10:AO37" si="18">MIN(C10-SUM(D10:H10)-AN10,0)</f>
        <v>-9.0949470177292824E-13</v>
      </c>
      <c r="AP10" s="108">
        <f>MIN(SUM($AO$8:AO10)-SUM($AR$8:AR9),0)</f>
        <v>-16737.90741173799</v>
      </c>
      <c r="AQ10" s="108">
        <f t="shared" si="9"/>
        <v>0</v>
      </c>
      <c r="AR10" s="108">
        <f t="shared" si="10"/>
        <v>-5986.6690696177784</v>
      </c>
      <c r="AS10" s="108">
        <f>(MAX(MIN(Paramètres!$B$9,(O10+P10+AQ10+MAX(Q10,0)+R10)/T10),0)*Paramètres!$C$9+MAX(MIN(Paramètres!$B$10,(O10+P10+AQ10+MAX(Q10,0)+R10)/T10)-Paramètres!$B$9,0)*Paramètres!$C$10+MAX(MIN(Paramètres!$B$11,(O10+P10+AQ10+MAX(Q10,0)+R10)/T10)-Paramètres!$B$10,0)*Paramètres!$C$11+MAX(MIN(Paramètres!$B$12,(O10+P10+AQ10+MAX(Q10,0)+R10)/T10)-Paramètres!$B$11,0)*Paramètres!$C$12+MAX(MIN(Paramètres!$B$13,(O10+P10+AQ10+MAX(Q10,0)+R10)/T10)-Paramètres!$B$12,0)*Paramètres!$C$13)*T10</f>
        <v>27193.350999999995</v>
      </c>
      <c r="AT10" s="108">
        <f>(MAX(MIN(Paramètres!$B$9,(O10+P10+AQ10+MAX(Q10,0)+R10)/U10),0)*Paramètres!$C$9+MAX(MIN(Paramètres!$B$10,(O10+P10+AQ10+MAX(Q10,0)+R10)/U10)-Paramètres!$B$9,0)*Paramètres!$C$10+MAX(MIN(Paramètres!$B$11,(O10+P10+AQ10+MAX(Q10,0)+R10)/U10)-Paramètres!$B$10,0)*Paramètres!$C$11+MAX(MIN(Paramètres!$B$12,(O10+P10+AQ10+MAX(Q10,0)+R10)/U10)-Paramètres!$B$11,0)*Paramètres!$C$12+MAX(MIN(Paramètres!$B$13,(O10+P10+AQ10+MAX(Q10,0)+R10)/U10)-Paramètres!$B$12,0)*Paramètres!$C$13)*U10</f>
        <v>27193.350999999995</v>
      </c>
      <c r="AU10" s="108">
        <f>MAX(AS10,AT10-Paramètres!$E$13*(T10-U10)*2)+MAX(P10+AQ10,0)*Paramètres!$E$9+MAX(Q10,0)*Paramètres!$E$9+MAX(R10*Paramètres!$E$12,Paramètres!$E$11)</f>
        <v>28338.350999999995</v>
      </c>
      <c r="AV10" s="150">
        <f t="shared" si="2"/>
        <v>0</v>
      </c>
      <c r="AW10" s="108">
        <f t="shared" si="3"/>
        <v>8568.840000000002</v>
      </c>
      <c r="AX10" s="108">
        <f>(MAX(MIN(Paramètres!$B$9,(O10+MAX(P10+AW10,0)+MAX(Q10,0)+R10)/T10),0)*Paramètres!$C$9+MAX(MIN(Paramètres!$B$10,(O10+MAX(P10+AW10,0)+MAX(Q10,0)+R10)/T10)-Paramètres!$B$9,0)*Paramètres!$C$10+MAX(MIN(Paramètres!$B$11,(O10+MAX(P10+AW10,0)+MAX(Q10,0)+R10)/T10)-Paramètres!$B$10,0)*Paramètres!$C$11+MAX(MIN(Paramètres!$B$12,(O10+MAX(P10+AW10,0)+MAX(Q10,0)+R10)/T10)-Paramètres!$B$11,0)*Paramètres!$C$12+MAX(MIN(Paramètres!$B$13,(O10+MAX(P10+AW10,0)+MAX(Q10,0)+R10)/T10)-Paramètres!$B$12,0)*Paramètres!$C$13)*T10</f>
        <v>30706.575399999994</v>
      </c>
      <c r="AY10" s="108">
        <f>(MAX(MIN(Paramètres!$B$9,(O10+MAX(P10+AW10,0)+MAX(Q10,0)+R10)/U10),0)*Paramètres!$C$9+MAX(MIN(Paramètres!$B$10,(O10+MAX(P10+AW10,0)+MAX(Q10,0)+R10)/U10)-Paramètres!$B$9,0)*Paramètres!$C$10+MAX(MIN(Paramètres!$B$11,(O10+MAX(P10+AW10,0)+MAX(Q10,0)+R10)/U10)-Paramètres!$B$10,0)*Paramètres!$C$11+MAX(MIN(Paramètres!$B$12,(O10+MAX(P10+AW10,0)+MAX(Q10,0)+R10)/U10)-Paramètres!$B$11,0)*Paramètres!$C$12+MAX(MIN(Paramètres!$B$13,(O10+MAX(P10+AW10,0)+MAX(Q10,0)+R10)/U10)-Paramètres!$B$12,0)*Paramètres!$C$13)*U10</f>
        <v>30706.575399999994</v>
      </c>
      <c r="AZ10" s="108">
        <f>MAX(AX10,AY10-Paramètres!$E$13*(T10-U10)*2)+MAX(P10+AW10,0)*Paramètres!$E$9+MAX(Q10,0)*Paramètres!$E$9+MAX(R10*Paramètres!$E$12,Paramètres!$E$11)</f>
        <v>33325.415879999993</v>
      </c>
      <c r="BA10" s="108">
        <f t="shared" si="4"/>
        <v>4987.0648799999981</v>
      </c>
      <c r="BB10" s="149">
        <f>MAX(MAX(C10-D10,0)-SUM(E10:H10),-MIN(SUM(O10:R10),Paramètres!$E$19+MAX(P10,0)))</f>
        <v>5986.6690696177784</v>
      </c>
      <c r="BC10" s="108">
        <f>MIN(C10-SUM(D10:H10)-BB10,0)</f>
        <v>-9.0949470177292824E-13</v>
      </c>
      <c r="BD10" s="108">
        <f>MIN(SUM($BC$8:BC10)-SUM($BF$8:BF9),0)</f>
        <v>-1.8189894035458565E-12</v>
      </c>
      <c r="BE10" s="108">
        <f t="shared" si="11"/>
        <v>5986.6690696177766</v>
      </c>
      <c r="BF10" s="108">
        <f t="shared" si="12"/>
        <v>0</v>
      </c>
      <c r="BG10" s="108">
        <f>(MAX(MIN(Paramètres!$B$9,(O10+P10+BE10+MAX(Q10,0)+R10)/T10),0)*Paramètres!$C$9+MAX(MIN(Paramètres!$B$10,(O10+P10+BE10+MAX(Q10,0)+R10)/T10)-Paramètres!$B$9,0)*Paramètres!$C$10+MAX(MIN(Paramètres!$B$11,(O10+P10+BE10+MAX(Q10,0)+R10)/T10)-Paramètres!$B$10,0)*Paramètres!$C$11+MAX(MIN(Paramètres!$B$12,(O10+P10+BE10+MAX(Q10,0)+R10)/T10)-Paramètres!$B$11,0)*Paramètres!$C$12+MAX(MIN(Paramètres!$B$13,(O10+P10+BE10+MAX(Q10,0)+R10)/T10)-Paramètres!$B$12,0)*Paramètres!$C$13)*T10</f>
        <v>29647.885318543285</v>
      </c>
      <c r="BH10" s="108">
        <f>(MAX(MIN(Paramètres!$B$9,(O10+P10+BE10+MAX(Q10,0)+R10)/U10),0)*Paramètres!$C$9+MAX(MIN(Paramètres!$B$10,(O10+P10+BE10+MAX(Q10,0)+R10)/U10)-Paramètres!$B$9,0)*Paramètres!$C$10+MAX(MIN(Paramètres!$B$11,(O10+P10+BE10+MAX(Q10,0)+R10)/U10)-Paramètres!$B$10,0)*Paramètres!$C$11+MAX(MIN(Paramètres!$B$12,(O10+P10+BE10+MAX(Q10,0)+R10)/U10)-Paramètres!$B$11,0)*Paramètres!$C$12+MAX(MIN(Paramètres!$B$13,(O10+P10+BE10+MAX(Q10,0)+R10)/U10)-Paramètres!$B$12,0)*Paramètres!$C$13)*U10</f>
        <v>29647.885318543285</v>
      </c>
      <c r="BI10" s="108">
        <f>MAX(BG10,BH10-Paramètres!$E$13*(T10-U10)*2)+MAX(P10+BE10,0)*Paramètres!$E$9+MAX(Q10,0)*Paramètres!$E$9+MAX(R10*Paramètres!$E$12,Paramètres!$E$11)</f>
        <v>31822.592398517543</v>
      </c>
      <c r="BJ10" s="150">
        <f>MAX(BI10-IFERROR(VLOOKUP(B10,Paramètres!$B$28:$C$39,2,FALSE),0)*MIN(MIN((Simulation!$C$7+Simulation!$C$12+Simulation!$C$8+Simulation!$C$10)/Simulation!$C$28,Paramètres!$C$26)*Simulation!$C$28,Paramètres!$C$25),0)-X10</f>
        <v>449.74139851754808</v>
      </c>
      <c r="BK10" s="108">
        <f t="shared" si="13"/>
        <v>8568.840000000002</v>
      </c>
      <c r="BL10" s="108">
        <f>(MAX(MIN(Paramètres!$B$9,(O10+MAX(P10+BK10,0)+MAX(Q10,0)+R10)/T10),0)*Paramètres!$C$9+MAX(MIN(Paramètres!$B$10,(O10+MAX(P10+BK10,0)+MAX(Q10,0)+R10)/T10)-Paramètres!$B$9,0)*Paramètres!$C$10+MAX(MIN(Paramètres!$B$11,(O10+MAX(P10+BK10,0)+MAX(Q10,0)+R10)/T10)-Paramètres!$B$10,0)*Paramètres!$C$11+MAX(MIN(Paramètres!$B$12,(O10+MAX(P10+BK10,0)+MAX(Q10,0)+R10)/T10)-Paramètres!$B$11,0)*Paramètres!$C$12+MAX(MIN(Paramètres!$B$13,(O10+MAX(P10+BK10,0)+MAX(Q10,0)+R10)/T10)-Paramètres!$B$12,0)*Paramètres!$C$13)*T10</f>
        <v>30706.575399999994</v>
      </c>
      <c r="BM10" s="108">
        <f>(MAX(MIN(Paramètres!$B$9,(O10+MAX(P10+BK10,0)+MAX(Q10,0)+R10)/U10),0)*Paramètres!$C$9+MAX(MIN(Paramètres!$B$10,(O10+MAX(P10+BK10,0)+MAX(Q10,0)+R10)/U10)-Paramètres!$B$9,0)*Paramètres!$C$10+MAX(MIN(Paramètres!$B$11,(O10+MAX(P10+BK10,0)+MAX(Q10,0)+R10)/U10)-Paramètres!$B$10,0)*Paramètres!$C$11+MAX(MIN(Paramètres!$B$12,(O10+MAX(P10+BK10,0)+MAX(Q10,0)+R10)/U10)-Paramètres!$B$11,0)*Paramètres!$C$12+MAX(MIN(Paramètres!$B$13,(O10+MAX(P10+BK10,0)+MAX(Q10,0)+R10)/U10)-Paramètres!$B$12,0)*Paramètres!$C$13)*U10</f>
        <v>30706.575399999994</v>
      </c>
      <c r="BN10" s="108">
        <f>MAX(BL10,BM10-Paramètres!$E$13*(T10-U10)*2)+MAX(P10+BK10,0)*Paramètres!$E$9+MAX(Q10,0)*Paramètres!$E$9+MAX(R10*Paramètres!$E$12,Paramètres!$E$11)</f>
        <v>33325.415879999993</v>
      </c>
      <c r="BO10" s="108">
        <f>MAX(BN10-IFERROR(VLOOKUP(B10,Paramètres!$B$28:$C$39,2,FALSE),0)*MIN(MIN((Simulation!$C$7+Simulation!$C$12+Simulation!$C$8+Simulation!$C$10)/Simulation!$C$28,Paramètres!$C$26)*Simulation!$C$28,Paramètres!$C$25),0)-X10</f>
        <v>1952.5648799999981</v>
      </c>
      <c r="BP10" s="126">
        <f t="shared" si="14"/>
        <v>-2981.3309303822225</v>
      </c>
      <c r="BQ10" s="108">
        <f t="shared" si="15"/>
        <v>0</v>
      </c>
      <c r="BR10" s="108">
        <f>MIN(SUM($BQ$8:BQ10)-SUM($BT$8:BT9),0)</f>
        <v>-2548.0000000000018</v>
      </c>
      <c r="BS10" s="108">
        <f t="shared" ref="BS10:BS37" si="19">IF(BP10&lt;0,BP10,MAX(BP10+BR10,0))</f>
        <v>-2981.3309303822225</v>
      </c>
      <c r="BT10" s="108">
        <f t="shared" si="16"/>
        <v>0</v>
      </c>
      <c r="BU10" s="108">
        <f>(MAX(MIN(Paramètres!$B$9,(O10+MAX(P10,0)+MAX(Q10,0)+R10+BS10)/T10),0)*Paramètres!$C$9+MAX(MIN(Paramètres!$B$10,(O10+MAX(P10,0)+MAX(Q10,0)+R10+BS10)/T10)-Paramètres!$B$9,0)*Paramètres!$C$10+MAX(MIN(Paramètres!$B$11,(O10+MAX(P10,0)+MAX(Q10,0)+R10+BS10)/T10)-Paramètres!$B$10,0)*Paramètres!$C$11+MAX(MIN(Paramètres!$B$12,(O10+MAX(P10,0)+MAX(Q10,0)+R10+BS10)/T10)-Paramètres!$B$11,0)*Paramètres!$C$12+MAX(MIN(Paramètres!$B$13,(O10+MAX(P10,0)+MAX(Q10,0)+R10+BS10)/T10)-Paramètres!$B$12,0)*Paramètres!$C$13)*T10</f>
        <v>25971.005318543284</v>
      </c>
      <c r="BV10" s="108">
        <f>(MAX(MIN(Paramètres!$B$9,(O10+MAX(P10,0)+MAX(Q10,0)+R10+BS10)/U10),0)*Paramètres!$C$9+MAX(MIN(Paramètres!$B$10,(O10+MAX(P10,0)+MAX(Q10,0)+R10+BS10)/U10)-Paramètres!$B$9,0)*Paramètres!$C$10+MAX(MIN(Paramètres!$B$11,(O10+MAX(P10,0)+MAX(Q10,0)+R10+BS10)/U10)-Paramètres!$B$10,0)*Paramètres!$C$11+MAX(MIN(Paramètres!$B$12,(O10+MAX(P10,0)+MAX(Q10,0)+R10+BS10)/U10)-Paramètres!$B$11,0)*Paramètres!$C$12+MAX(MIN(Paramètres!$B$13,(O10+MAX(P10,0)+MAX(Q10,0)+R10+BS10)/U10)-Paramètres!$B$12,0)*Paramètres!$C$13)*U10</f>
        <v>25971.005318543284</v>
      </c>
      <c r="BW10" s="108">
        <f>MAX(BU10,BV10-Paramètres!$E$13*(T10-U10)*2)+MAX(P10,0)*Paramètres!$E$9+MAX(Q10,0)*Paramètres!$E$9+MAX((R10+BS10)*Paramètres!$E$12,Paramètres!$E$11)</f>
        <v>27116.005318543284</v>
      </c>
      <c r="BX10" s="108">
        <f t="shared" si="17"/>
        <v>-1222.3456814567107</v>
      </c>
      <c r="BY10" s="149">
        <f>(C10-SUM(D10:N10)+MIN(BY9,0))*(B10&lt;=Simulation!$F$24)</f>
        <v>-15135.238342120212</v>
      </c>
      <c r="BZ10" s="108">
        <f>(Simulation!$F$22-(Simulation!$C$13-SUM($I$8:$N$37)))*(B10=Simulation!$F$24)</f>
        <v>0</v>
      </c>
      <c r="CA10" s="108">
        <f>MAX(MIN(BY10+BZ10,Paramètres!$B$17)*Paramètres!$C$17+MAX(MIN(BY10+BZ10,Paramètres!$B$18)-Paramètres!$B$17,0)*Paramètres!$C$18+MAX(MIN(BY10+BZ10,Paramètres!$B$19)-Paramètres!$B$18,0)*Paramètres!$C$19,0)</f>
        <v>0</v>
      </c>
      <c r="CB10" s="150">
        <f>MAX(MIN(BY10,Paramètres!$B$17)*Paramètres!$C$17+MAX(MIN(BY10,Paramètres!$B$18)-Paramètres!$B$17,0)*Paramètres!$C$18+MAX(MIN(BY10,Paramètres!$B$19)-Paramètres!$B$18,0)*Paramètres!$C$19,0)</f>
        <v>0</v>
      </c>
      <c r="CC10" s="108">
        <f>(C10-SUM(D10:N10)+MIN(CC9,0))*(B10&lt;=Simulation!$F$24)</f>
        <v>-15135.238342120212</v>
      </c>
      <c r="CD10" s="108">
        <f>(Simulation!$F$22-(Simulation!$C$13-SUM($I$8:$N$37)))*(B10=Simulation!$F$24)</f>
        <v>0</v>
      </c>
      <c r="CE10" s="108">
        <f>MAX(MIN(CC10+CD10,Paramètres!$B$17)*Paramètres!$C$17+MAX(MIN(CC10+CD10,Paramètres!$B$18)-Paramètres!$B$17,0)*Paramètres!$C$18+MAX(MIN(CC10+CD10,Paramètres!$B$19)-Paramètres!$B$18,0)*Paramètres!$C$19,0)</f>
        <v>0</v>
      </c>
      <c r="CF10" s="108">
        <f>MAX(MIN(CC10,Paramètres!$B$17)*Paramètres!$C$17+MAX(MIN(CC10,Paramètres!$B$18)-Paramètres!$B$17,0)*Paramètres!$C$18+MAX(MIN(CC10,Paramètres!$B$19)-Paramètres!$B$18,0)*Paramètres!$C$19,0)</f>
        <v>0</v>
      </c>
      <c r="CG10" s="108">
        <f>MAX(CC10+CD10-CF10,0)*(1-Paramètres!$E$17)*Paramètres!$E$18</f>
        <v>0</v>
      </c>
      <c r="CH10" s="54">
        <f>MAX(CC10-CF10,0)*(1-Paramètres!$E$17)*Paramètres!$E$18</f>
        <v>0</v>
      </c>
      <c r="CI10" s="127">
        <f ca="1">OFFSET($AC10,0,VLOOKUP(Simulation!$C$27,Simulation!$Q$5:$R$14,2,FALSE))</f>
        <v>0</v>
      </c>
      <c r="CK10" s="167"/>
      <c r="CL10" s="167"/>
      <c r="CM10" s="167"/>
      <c r="CN10" s="167"/>
      <c r="CO10" s="167"/>
      <c r="CP10" s="167"/>
      <c r="CQ10" s="167"/>
      <c r="CR10" s="167"/>
      <c r="CS10" s="167"/>
      <c r="CT10" s="167"/>
      <c r="CU10" s="167"/>
      <c r="CV10" s="167"/>
    </row>
    <row r="11" spans="2:100" x14ac:dyDescent="0.2">
      <c r="B11" s="40">
        <f t="shared" si="0"/>
        <v>4</v>
      </c>
      <c r="C11" s="143">
        <f>SUMPRODUCT('Détail trésorerie'!$H$8:$H$367*('Détail trésorerie'!$B$8:$B$367&gt;$B10*12)*('Détail trésorerie'!$B$8:$B$367&lt;=$B11*12))</f>
        <v>12363.611999999996</v>
      </c>
      <c r="D11" s="143">
        <f>SUMPRODUCT('Détail trésorerie'!$E$8:$E$367*('Détail trésorerie'!$B$8:$B$367&gt;$B10*12)*('Détail trésorerie'!$B$8:$B$367&lt;=$B11*12))</f>
        <v>2268.6383380803668</v>
      </c>
      <c r="E11" s="144">
        <f>SUMPRODUCT('Détail trésorerie'!$J$8:$J$367*('Détail trésorerie'!$B$8:$B$367&gt;$B10*12)*('Détail trésorerie'!$B$8:$B$367&lt;=$B11*12))</f>
        <v>1545.4514999999994</v>
      </c>
      <c r="F11" s="144">
        <f>SUMPRODUCT('Détail trésorerie'!$K$8:$K$367*('Détail trésorerie'!$B$8:$B$367&gt;$B10*12)*('Détail trésorerie'!$B$8:$B$367&lt;=$B11*12))</f>
        <v>1277.5732399999999</v>
      </c>
      <c r="G11" s="144">
        <f>SUMPRODUCT('Détail trésorerie'!$L$8:$L$367*('Détail trésorerie'!$B$8:$B$367&gt;$B10*12)*('Détail trésorerie'!$B$8:$B$367&lt;=$B11*12))</f>
        <v>618.1805999999998</v>
      </c>
      <c r="H11" s="145">
        <f>SUMPRODUCT('Détail trésorerie'!$M$8:$M$367*('Détail trésorerie'!$B$8:$B$367&gt;$B10*12)*('Détail trésorerie'!$B$8:$B$367&lt;=$B11*12))</f>
        <v>459.8300999999999</v>
      </c>
      <c r="I11" s="126">
        <f>MAX(MIN(Paramètres!$E$3*Simulation!$C$7*Paramètres!$C$3,Simulation!$C$7*Paramètres!$E$3-SUM(I$8:$I10)),0)*(B11&lt;=Simulation!$F$24)</f>
        <v>0</v>
      </c>
      <c r="J11" s="108">
        <f>MAX(MIN(Paramètres!$E$4*Simulation!$C$7*Paramètres!$C$4,Simulation!$C$7*Paramètres!$E$4-SUM($J$8:J10)),0)*(B11&lt;=Simulation!$F$24)</f>
        <v>2700</v>
      </c>
      <c r="K11" s="108">
        <f>MAX(MIN(Paramètres!$E$5*Simulation!$C$8*Paramètres!$C$5,Paramètres!$E$5*Simulation!$C$8-SUM($K$8:K10)),0)*(B11&lt;=Simulation!$F$24)</f>
        <v>2148</v>
      </c>
      <c r="L11" s="108">
        <v>0</v>
      </c>
      <c r="M11" s="108">
        <v>0</v>
      </c>
      <c r="N11" s="108">
        <f>MAX(MIN(Paramètres!$C$6*(Simulation!$C$10+Simulation!$C$11+Simulation!$C$12),(Simulation!$C$10+Simulation!$C$11+Simulation!$C$12)-SUM(N$8:N10)),0)*(B11&lt;=Simulation!$F$24)</f>
        <v>4120</v>
      </c>
      <c r="O11" s="148">
        <f>25000*8/2*(1+Emprunteur!$F$7)^$B11</f>
        <v>104060.401</v>
      </c>
      <c r="P11" s="165">
        <f>0*(1+Emprunteur!$F$8)^$B11</f>
        <v>0</v>
      </c>
      <c r="Q11" s="165">
        <f>0*(1+Emprunteur!$F$9)^$B11</f>
        <v>0</v>
      </c>
      <c r="R11" s="165">
        <f>0*(1+Emprunteur!$F$10)^$B11</f>
        <v>0</v>
      </c>
      <c r="S11" s="108">
        <f t="shared" si="5"/>
        <v>104060.401</v>
      </c>
      <c r="T11" s="157">
        <v>1</v>
      </c>
      <c r="U11" s="157">
        <v>1</v>
      </c>
      <c r="V11" s="108">
        <f>(MAX(MIN(Paramètres!$B$9,S11/T11),0)*Paramètres!$C$9+MAX(MIN(Paramètres!$B$10,S11/T11)-Paramètres!$B$9,0)*Paramètres!$C$10+MAX(MIN(Paramètres!$B$11,S11/T11)-Paramètres!$B$10,0)*Paramètres!$C$11+MAX(MIN(Paramètres!$B$12,S11/T11)-Paramètres!$B$11,0)*Paramètres!$C$12+MAX(MIN(Paramètres!$B$13,S11/T11)-Paramètres!$B$12,0)*Paramètres!$C$13)*T11</f>
        <v>27615.774409999998</v>
      </c>
      <c r="W11" s="108">
        <f>(MAX(MIN(Paramètres!$B$9,S11/U11),0)*Paramètres!$C$9+MAX(MIN(Paramètres!$B$10,S11/U11)-Paramètres!$B$9,0)*Paramètres!$C$10+MAX(MIN(Paramètres!$B$11,S11/U11)-Paramètres!$B$10,0)*Paramètres!$C$11+MAX(MIN(Paramètres!$B$12,S11/U11)-Paramètres!$B$11,0)*Paramètres!$C$12+MAX(MIN(Paramètres!$B$13,S11/U11)-Paramètres!$B$12,0)*Paramètres!$C$13)*U11</f>
        <v>27615.774409999998</v>
      </c>
      <c r="X11" s="108">
        <f>MAX(V11,W11-Paramètres!$E$13*(T11-U11)*2)+MAX(P11,0)*Paramètres!$E$9+MAX(Q11,0)*Paramètres!$E$9+MAX(R11*Paramètres!$E$12,Paramètres!$E$11)</f>
        <v>28760.774409999998</v>
      </c>
      <c r="Y11" s="126">
        <f>(C11-SUM(D11:N11)+MIN(Y10,0))*(B11&lt;=Simulation!$F$24)</f>
        <v>-17909.300120200583</v>
      </c>
      <c r="Z11" s="108">
        <f>(MAX(MIN(Paramètres!$B$9,(O11+MAX(P11,0)+MAX(Q11+Y11,0)+R11)/T11),0)*Paramètres!$C$9+MAX(MIN(Paramètres!$B$10,(O11+MAX(P11,0)+MAX(Q11+Y11,0)+R11)/T11)-Paramètres!$B$9,0)*Paramètres!$C$10+MAX(MIN(Paramètres!$B$11,(O11+MAX(P11,0)+MAX(Q11+Y11,0)+R11)/T11)-Paramètres!$B$10,0)*Paramètres!$C$11+MAX(MIN(Paramètres!$B$12,(O11+MAX(P11,0)+MAX(Q11+Y11,0)+R11)/T11)-Paramètres!$B$11,0)*Paramètres!$C$12+MAX(MIN(Paramètres!$B$13,(O11+MAX(P11,0)+MAX(Q11+Y11,0)+R11)/T11)-Paramètres!$B$12,0)*Paramètres!$C$13)*T11</f>
        <v>27615.774409999998</v>
      </c>
      <c r="AA11" s="108">
        <f>(MAX(MIN(Paramètres!$B$9,(O11+MAX(P11,0)+MAX(Q11+Y11,0)+R11)/U11),0)*Paramètres!$C$9+MAX(MIN(Paramètres!$B$10,(O11+MAX(P11,0)+MAX(Q11+Y11,0)+R11)/U11)-Paramètres!$B$9,0)*Paramètres!$C$10+MAX(MIN(Paramètres!$B$11,(O11+MAX(P11,0)+MAX(Q11+Y11,0)+R11)/U11)-Paramètres!$B$10,0)*Paramètres!$C$11+MAX(MIN(Paramètres!$B$12,(O11+MAX(P11,0)+MAX(Q11+Y11,0)+R11)/U11)-Paramètres!$B$11,0)*Paramètres!$C$12+MAX(MIN(Paramètres!$B$13,(O11+MAX(P11,0)+MAX(Q11+Y11,0)+R11)/U11)-Paramètres!$B$12,0)*Paramètres!$C$13)*U11</f>
        <v>27615.774409999998</v>
      </c>
      <c r="AB11" s="108">
        <f>MAX(Z11,AA11-Paramètres!$E$13*(T11-U11)*2)+MAX(P11,0)*Paramètres!$E$9+MAX(Q11+Y11,0)*Paramètres!$E$9+MAX(R11*Paramètres!$E$12,Paramètres!$E$11)</f>
        <v>28760.774409999998</v>
      </c>
      <c r="AC11" s="108">
        <f t="shared" si="6"/>
        <v>0</v>
      </c>
      <c r="AD11" s="149">
        <f t="shared" si="1"/>
        <v>6181.8059999999978</v>
      </c>
      <c r="AE11" s="108">
        <f>(MAX(MIN(Paramètres!$B$9,(O11+MAX(P11,0)+MAX(Q11+AD11,0)+R11)/T11),0)*Paramètres!$C$9+MAX(MIN(Paramètres!$B$10,(O11+MAX(P11,0)+MAX(Q11+AD11,0)+R11)/T11)-Paramètres!$B$9,0)*Paramètres!$C$10+MAX(MIN(Paramètres!$B$11,(O11+MAX(P11,0)+MAX(Q11+AD11,0)+R11)/T11)-Paramètres!$B$10,0)*Paramètres!$C$11+MAX(MIN(Paramètres!$B$12,(O11+MAX(P11,0)+MAX(Q11+AD11,0)+R11)/T11)-Paramètres!$B$11,0)*Paramètres!$C$12+MAX(MIN(Paramètres!$B$13,(O11+MAX(P11,0)+MAX(Q11+AD11,0)+R11)/T11)-Paramètres!$B$12,0)*Paramètres!$C$13)*T11</f>
        <v>30150.314869999995</v>
      </c>
      <c r="AF11" s="108">
        <f>(MAX(MIN(Paramètres!$B$9,(O11+MAX(P11,0)+MAX(Q11+AD11,0)+R11)/U11),0)*Paramètres!$C$9+MAX(MIN(Paramètres!$B$10,(O11+MAX(P11,0)+MAX(Q11+AD11,0)+R11)/U11)-Paramètres!$B$9,0)*Paramètres!$C$10+MAX(MIN(Paramètres!$B$11,(O11+MAX(P11,0)+MAX(Q11+AD11,0)+R11)/U11)-Paramètres!$B$10,0)*Paramètres!$C$11+MAX(MIN(Paramètres!$B$12,(O11+MAX(P11,0)+MAX(Q11+AD11,0)+R11)/U11)-Paramètres!$B$11,0)*Paramètres!$C$12+MAX(MIN(Paramètres!$B$13,(O11+MAX(P11,0)+MAX(Q11+AD11,0)+R11)/U11)-Paramètres!$B$12,0)*Paramètres!$C$13)*U11</f>
        <v>30150.314869999995</v>
      </c>
      <c r="AG11" s="108">
        <f>MAX(AE11,AF11-Paramètres!$E$13*(T11-U11)*2)+MAX(P11,0)*Paramètres!$E$9+MAX(Q11+AD11,0)*Paramètres!$E$9+MAX(R11*Paramètres!$E$12,Paramètres!$E$11)</f>
        <v>32358.585501999994</v>
      </c>
      <c r="AH11" s="150">
        <f t="shared" si="7"/>
        <v>3597.8110919999963</v>
      </c>
      <c r="AI11" s="149">
        <f t="shared" si="8"/>
        <v>6181.8059999999978</v>
      </c>
      <c r="AJ11" s="108">
        <f>(MAX(MIN(Paramètres!$B$9,(O11+MAX(P11,0)+MAX(Q11+AI11,0)+R11)/T11),0)*Paramètres!$C$9+MAX(MIN(Paramètres!$B$10,(O11+MAX(P11,0)+MAX(Q11+AI11,0)+R11)/T11)-Paramètres!$B$9,0)*Paramètres!$C$10+MAX(MIN(Paramètres!$B$11,(O11+MAX(P11,0)+MAX(Q11+AI11,0)+R11)/T11)-Paramètres!$B$10,0)*Paramètres!$C$11+MAX(MIN(Paramètres!$B$12,(O11+MAX(P11,0)+MAX(Q11+AI11,0)+R11)/T11)-Paramètres!$B$11,0)*Paramètres!$C$12+MAX(MIN(Paramètres!$B$13,(O11+MAX(P11,0)+MAX(Q11+AI11,0)+R11)/T11)-Paramètres!$B$12,0)*Paramètres!$C$13)*T11</f>
        <v>30150.314869999995</v>
      </c>
      <c r="AK11" s="108">
        <f>(MAX(MIN(Paramètres!$B$9,(O11+MAX(P11,0)+MAX(Q11+AI11,0)+R11)/U11),0)*Paramètres!$C$9+MAX(MIN(Paramètres!$B$10,(O11+MAX(P11,0)+MAX(Q11+AI11,0)+R11)/U11)-Paramètres!$B$9,0)*Paramètres!$C$10+MAX(MIN(Paramètres!$B$11,(O11+MAX(P11,0)+MAX(Q11+AI11,0)+R11)/U11)-Paramètres!$B$10,0)*Paramètres!$C$11+MAX(MIN(Paramètres!$B$12,(O11+MAX(P11,0)+MAX(Q11+AI11,0)+R11)/U11)-Paramètres!$B$11,0)*Paramètres!$C$12+MAX(MIN(Paramètres!$B$13,(O11+MAX(P11,0)+MAX(Q11+AI11,0)+R11)/U11)-Paramètres!$B$12,0)*Paramètres!$C$13)*U11</f>
        <v>30150.314869999995</v>
      </c>
      <c r="AL11" s="108">
        <f>MAX(AJ11,AK11-Paramètres!$E$13*(T11-U11)*2)+MAX(P11,0)*Paramètres!$E$9+MAX(Q11+AI11,0)*Paramètres!$E$9+MAX(R11*Paramètres!$E$12,Paramètres!$E$11)</f>
        <v>32358.585501999994</v>
      </c>
      <c r="AM11" s="150">
        <f>MAX(AL11-11%/9*Simulation!$C$7*(B11&lt;=9),0)-X11</f>
        <v>2131.1444253333284</v>
      </c>
      <c r="AN11" s="149">
        <f>MAX(MAX(C11-D11,0)-SUM(E11:H11),-MIN(SUM(O11:R11),Paramètres!$E$19+MAX(P11,0)))</f>
        <v>6193.9382219196295</v>
      </c>
      <c r="AO11" s="108">
        <f t="shared" si="18"/>
        <v>0</v>
      </c>
      <c r="AP11" s="108">
        <f>MIN(SUM($AO$8:AO11)-SUM($AR$8:AR10),0)</f>
        <v>-10751.23834212021</v>
      </c>
      <c r="AQ11" s="108">
        <f t="shared" si="9"/>
        <v>0</v>
      </c>
      <c r="AR11" s="108">
        <f t="shared" si="10"/>
        <v>-6193.9382219196295</v>
      </c>
      <c r="AS11" s="108">
        <f>(MAX(MIN(Paramètres!$B$9,(O11+P11+AQ11+MAX(Q11,0)+R11)/T11),0)*Paramètres!$C$9+MAX(MIN(Paramètres!$B$10,(O11+P11+AQ11+MAX(Q11,0)+R11)/T11)-Paramètres!$B$9,0)*Paramètres!$C$10+MAX(MIN(Paramètres!$B$11,(O11+P11+AQ11+MAX(Q11,0)+R11)/T11)-Paramètres!$B$10,0)*Paramètres!$C$11+MAX(MIN(Paramètres!$B$12,(O11+P11+AQ11+MAX(Q11,0)+R11)/T11)-Paramètres!$B$11,0)*Paramètres!$C$12+MAX(MIN(Paramètres!$B$13,(O11+P11+AQ11+MAX(Q11,0)+R11)/T11)-Paramètres!$B$12,0)*Paramètres!$C$13)*T11</f>
        <v>27615.774409999998</v>
      </c>
      <c r="AT11" s="108">
        <f>(MAX(MIN(Paramètres!$B$9,(O11+P11+AQ11+MAX(Q11,0)+R11)/U11),0)*Paramètres!$C$9+MAX(MIN(Paramètres!$B$10,(O11+P11+AQ11+MAX(Q11,0)+R11)/U11)-Paramètres!$B$9,0)*Paramètres!$C$10+MAX(MIN(Paramètres!$B$11,(O11+P11+AQ11+MAX(Q11,0)+R11)/U11)-Paramètres!$B$10,0)*Paramètres!$C$11+MAX(MIN(Paramètres!$B$12,(O11+P11+AQ11+MAX(Q11,0)+R11)/U11)-Paramètres!$B$11,0)*Paramètres!$C$12+MAX(MIN(Paramètres!$B$13,(O11+P11+AQ11+MAX(Q11,0)+R11)/U11)-Paramètres!$B$12,0)*Paramètres!$C$13)*U11</f>
        <v>27615.774409999998</v>
      </c>
      <c r="AU11" s="108">
        <f>MAX(AS11,AT11-Paramètres!$E$13*(T11-U11)*2)+MAX(P11+AQ11,0)*Paramètres!$E$9+MAX(Q11,0)*Paramètres!$E$9+MAX(R11*Paramètres!$E$12,Paramètres!$E$11)</f>
        <v>28760.774409999998</v>
      </c>
      <c r="AV11" s="150">
        <f t="shared" si="2"/>
        <v>0</v>
      </c>
      <c r="AW11" s="108">
        <f t="shared" si="3"/>
        <v>8654.5283999999956</v>
      </c>
      <c r="AX11" s="108">
        <f>(MAX(MIN(Paramètres!$B$9,(O11+MAX(P11+AW11,0)+MAX(Q11,0)+R11)/T11),0)*Paramètres!$C$9+MAX(MIN(Paramètres!$B$10,(O11+MAX(P11+AW11,0)+MAX(Q11,0)+R11)/T11)-Paramètres!$B$9,0)*Paramètres!$C$10+MAX(MIN(Paramètres!$B$11,(O11+MAX(P11+AW11,0)+MAX(Q11,0)+R11)/T11)-Paramètres!$B$10,0)*Paramètres!$C$11+MAX(MIN(Paramètres!$B$12,(O11+MAX(P11+AW11,0)+MAX(Q11,0)+R11)/T11)-Paramètres!$B$11,0)*Paramètres!$C$12+MAX(MIN(Paramètres!$B$13,(O11+MAX(P11+AW11,0)+MAX(Q11,0)+R11)/T11)-Paramètres!$B$12,0)*Paramètres!$C$13)*T11</f>
        <v>31164.131053999998</v>
      </c>
      <c r="AY11" s="108">
        <f>(MAX(MIN(Paramètres!$B$9,(O11+MAX(P11+AW11,0)+MAX(Q11,0)+R11)/U11),0)*Paramètres!$C$9+MAX(MIN(Paramètres!$B$10,(O11+MAX(P11+AW11,0)+MAX(Q11,0)+R11)/U11)-Paramètres!$B$9,0)*Paramètres!$C$10+MAX(MIN(Paramètres!$B$11,(O11+MAX(P11+AW11,0)+MAX(Q11,0)+R11)/U11)-Paramètres!$B$10,0)*Paramètres!$C$11+MAX(MIN(Paramètres!$B$12,(O11+MAX(P11+AW11,0)+MAX(Q11,0)+R11)/U11)-Paramètres!$B$11,0)*Paramètres!$C$12+MAX(MIN(Paramètres!$B$13,(O11+MAX(P11+AW11,0)+MAX(Q11,0)+R11)/U11)-Paramètres!$B$12,0)*Paramètres!$C$13)*U11</f>
        <v>31164.131053999998</v>
      </c>
      <c r="AZ11" s="108">
        <f>MAX(AX11,AY11-Paramètres!$E$13*(T11-U11)*2)+MAX(P11+AW11,0)*Paramètres!$E$9+MAX(Q11,0)*Paramètres!$E$9+MAX(R11*Paramètres!$E$12,Paramètres!$E$11)</f>
        <v>33797.709938799992</v>
      </c>
      <c r="BA11" s="108">
        <f t="shared" si="4"/>
        <v>5036.9355287999933</v>
      </c>
      <c r="BB11" s="149">
        <f>MAX(MAX(C11-D11,0)-SUM(E11:H11),-MIN(SUM(O11:R11),Paramètres!$E$19+MAX(P11,0)))</f>
        <v>6193.9382219196295</v>
      </c>
      <c r="BC11" s="108">
        <f t="shared" ref="BC11:BC37" si="20">MIN(C11-SUM(D11:H11)-BB11,0)</f>
        <v>0</v>
      </c>
      <c r="BD11" s="108">
        <f>MIN(SUM($BC$8:BC11)-SUM($BF$8:BF10),0)</f>
        <v>-1.8189894035458565E-12</v>
      </c>
      <c r="BE11" s="108">
        <f t="shared" si="11"/>
        <v>6193.9382219196277</v>
      </c>
      <c r="BF11" s="108">
        <f t="shared" si="12"/>
        <v>0</v>
      </c>
      <c r="BG11" s="108">
        <f>(MAX(MIN(Paramètres!$B$9,(O11+P11+BE11+MAX(Q11,0)+R11)/T11),0)*Paramètres!$C$9+MAX(MIN(Paramètres!$B$10,(O11+P11+BE11+MAX(Q11,0)+R11)/T11)-Paramètres!$B$9,0)*Paramètres!$C$10+MAX(MIN(Paramètres!$B$11,(O11+P11+BE11+MAX(Q11,0)+R11)/T11)-Paramètres!$B$10,0)*Paramètres!$C$11+MAX(MIN(Paramètres!$B$12,(O11+P11+BE11+MAX(Q11,0)+R11)/T11)-Paramètres!$B$11,0)*Paramètres!$C$12+MAX(MIN(Paramètres!$B$13,(O11+P11+BE11+MAX(Q11,0)+R11)/T11)-Paramètres!$B$12,0)*Paramètres!$C$13)*T11</f>
        <v>30155.289080987044</v>
      </c>
      <c r="BH11" s="108">
        <f>(MAX(MIN(Paramètres!$B$9,(O11+P11+BE11+MAX(Q11,0)+R11)/U11),0)*Paramètres!$C$9+MAX(MIN(Paramètres!$B$10,(O11+P11+BE11+MAX(Q11,0)+R11)/U11)-Paramètres!$B$9,0)*Paramètres!$C$10+MAX(MIN(Paramètres!$B$11,(O11+P11+BE11+MAX(Q11,0)+R11)/U11)-Paramètres!$B$10,0)*Paramètres!$C$11+MAX(MIN(Paramètres!$B$12,(O11+P11+BE11+MAX(Q11,0)+R11)/U11)-Paramètres!$B$11,0)*Paramètres!$C$12+MAX(MIN(Paramètres!$B$13,(O11+P11+BE11+MAX(Q11,0)+R11)/U11)-Paramètres!$B$12,0)*Paramètres!$C$13)*U11</f>
        <v>30155.289080987044</v>
      </c>
      <c r="BI11" s="108">
        <f>MAX(BG11,BH11-Paramètres!$E$13*(T11-U11)*2)+MAX(P11+BE11,0)*Paramètres!$E$9+MAX(Q11,0)*Paramètres!$E$9+MAX(R11*Paramètres!$E$12,Paramètres!$E$11)</f>
        <v>32365.646455157221</v>
      </c>
      <c r="BJ11" s="150">
        <f>MAX(BI11-IFERROR(VLOOKUP(B11,Paramètres!$B$28:$C$39,2,FALSE),0)*MIN(MIN((Simulation!$C$7+Simulation!$C$12+Simulation!$C$8+Simulation!$C$10)/Simulation!$C$28,Paramètres!$C$26)*Simulation!$C$28,Paramètres!$C$25),0)-X11</f>
        <v>570.3720451572226</v>
      </c>
      <c r="BK11" s="108">
        <f t="shared" si="13"/>
        <v>8654.5283999999956</v>
      </c>
      <c r="BL11" s="108">
        <f>(MAX(MIN(Paramètres!$B$9,(O11+MAX(P11+BK11,0)+MAX(Q11,0)+R11)/T11),0)*Paramètres!$C$9+MAX(MIN(Paramètres!$B$10,(O11+MAX(P11+BK11,0)+MAX(Q11,0)+R11)/T11)-Paramètres!$B$9,0)*Paramètres!$C$10+MAX(MIN(Paramètres!$B$11,(O11+MAX(P11+BK11,0)+MAX(Q11,0)+R11)/T11)-Paramètres!$B$10,0)*Paramètres!$C$11+MAX(MIN(Paramètres!$B$12,(O11+MAX(P11+BK11,0)+MAX(Q11,0)+R11)/T11)-Paramètres!$B$11,0)*Paramètres!$C$12+MAX(MIN(Paramètres!$B$13,(O11+MAX(P11+BK11,0)+MAX(Q11,0)+R11)/T11)-Paramètres!$B$12,0)*Paramètres!$C$13)*T11</f>
        <v>31164.131053999998</v>
      </c>
      <c r="BM11" s="108">
        <f>(MAX(MIN(Paramètres!$B$9,(O11+MAX(P11+BK11,0)+MAX(Q11,0)+R11)/U11),0)*Paramètres!$C$9+MAX(MIN(Paramètres!$B$10,(O11+MAX(P11+BK11,0)+MAX(Q11,0)+R11)/U11)-Paramètres!$B$9,0)*Paramètres!$C$10+MAX(MIN(Paramètres!$B$11,(O11+MAX(P11+BK11,0)+MAX(Q11,0)+R11)/U11)-Paramètres!$B$10,0)*Paramètres!$C$11+MAX(MIN(Paramètres!$B$12,(O11+MAX(P11+BK11,0)+MAX(Q11,0)+R11)/U11)-Paramètres!$B$11,0)*Paramètres!$C$12+MAX(MIN(Paramètres!$B$13,(O11+MAX(P11+BK11,0)+MAX(Q11,0)+R11)/U11)-Paramètres!$B$12,0)*Paramètres!$C$13)*U11</f>
        <v>31164.131053999998</v>
      </c>
      <c r="BN11" s="108">
        <f>MAX(BL11,BM11-Paramètres!$E$13*(T11-U11)*2)+MAX(P11+BK11,0)*Paramètres!$E$9+MAX(Q11,0)*Paramètres!$E$9+MAX(R11*Paramètres!$E$12,Paramètres!$E$11)</f>
        <v>33797.709938799992</v>
      </c>
      <c r="BO11" s="108">
        <f>MAX(BN11-IFERROR(VLOOKUP(B11,Paramètres!$B$28:$C$39,2,FALSE),0)*MIN(MIN((Simulation!$C$7+Simulation!$C$12+Simulation!$C$8+Simulation!$C$10)/Simulation!$C$28,Paramètres!$C$26)*Simulation!$C$28,Paramètres!$C$25),0)-X11</f>
        <v>2002.4355287999933</v>
      </c>
      <c r="BP11" s="126">
        <f t="shared" si="14"/>
        <v>-2774.0617780803705</v>
      </c>
      <c r="BQ11" s="108">
        <f t="shared" si="15"/>
        <v>-9.0949470177292824E-13</v>
      </c>
      <c r="BR11" s="108">
        <f>MIN(SUM($BQ$8:BQ11)-SUM($BT$8:BT10),0)</f>
        <v>-2548.0000000000027</v>
      </c>
      <c r="BS11" s="108">
        <f t="shared" si="19"/>
        <v>-2774.0617780803705</v>
      </c>
      <c r="BT11" s="108">
        <f t="shared" si="16"/>
        <v>0</v>
      </c>
      <c r="BU11" s="108">
        <f>(MAX(MIN(Paramètres!$B$9,(O11+MAX(P11,0)+MAX(Q11,0)+R11+BS11)/T11),0)*Paramètres!$C$9+MAX(MIN(Paramètres!$B$10,(O11+MAX(P11,0)+MAX(Q11,0)+R11+BS11)/T11)-Paramètres!$B$9,0)*Paramètres!$C$10+MAX(MIN(Paramètres!$B$11,(O11+MAX(P11,0)+MAX(Q11,0)+R11+BS11)/T11)-Paramètres!$B$10,0)*Paramètres!$C$11+MAX(MIN(Paramètres!$B$12,(O11+MAX(P11,0)+MAX(Q11,0)+R11+BS11)/T11)-Paramètres!$B$11,0)*Paramètres!$C$12+MAX(MIN(Paramètres!$B$13,(O11+MAX(P11,0)+MAX(Q11,0)+R11+BS11)/T11)-Paramètres!$B$12,0)*Paramètres!$C$13)*T11</f>
        <v>26478.409080987047</v>
      </c>
      <c r="BV11" s="108">
        <f>(MAX(MIN(Paramètres!$B$9,(O11+MAX(P11,0)+MAX(Q11,0)+R11+BS11)/U11),0)*Paramètres!$C$9+MAX(MIN(Paramètres!$B$10,(O11+MAX(P11,0)+MAX(Q11,0)+R11+BS11)/U11)-Paramètres!$B$9,0)*Paramètres!$C$10+MAX(MIN(Paramètres!$B$11,(O11+MAX(P11,0)+MAX(Q11,0)+R11+BS11)/U11)-Paramètres!$B$10,0)*Paramètres!$C$11+MAX(MIN(Paramètres!$B$12,(O11+MAX(P11,0)+MAX(Q11,0)+R11+BS11)/U11)-Paramètres!$B$11,0)*Paramètres!$C$12+MAX(MIN(Paramètres!$B$13,(O11+MAX(P11,0)+MAX(Q11,0)+R11+BS11)/U11)-Paramètres!$B$12,0)*Paramètres!$C$13)*U11</f>
        <v>26478.409080987047</v>
      </c>
      <c r="BW11" s="108">
        <f>MAX(BU11,BV11-Paramètres!$E$13*(T11-U11)*2)+MAX(P11,0)*Paramètres!$E$9+MAX(Q11,0)*Paramètres!$E$9+MAX((R11+BS11)*Paramètres!$E$12,Paramètres!$E$11)</f>
        <v>27623.409080987047</v>
      </c>
      <c r="BX11" s="108">
        <f t="shared" si="17"/>
        <v>-1137.3653290129514</v>
      </c>
      <c r="BY11" s="149">
        <f>(C11-SUM(D11:N11)+MIN(BY10,0))*(B11&lt;=Simulation!$F$24)</f>
        <v>-17909.300120200583</v>
      </c>
      <c r="BZ11" s="108">
        <f>(Simulation!$F$22-(Simulation!$C$13-SUM($I$8:$N$37)))*(B11=Simulation!$F$24)</f>
        <v>0</v>
      </c>
      <c r="CA11" s="108">
        <f>MAX(MIN(BY11+BZ11,Paramètres!$B$17)*Paramètres!$C$17+MAX(MIN(BY11+BZ11,Paramètres!$B$18)-Paramètres!$B$17,0)*Paramètres!$C$18+MAX(MIN(BY11+BZ11,Paramètres!$B$19)-Paramètres!$B$18,0)*Paramètres!$C$19,0)</f>
        <v>0</v>
      </c>
      <c r="CB11" s="150">
        <f>MAX(MIN(BY11,Paramètres!$B$17)*Paramètres!$C$17+MAX(MIN(BY11,Paramètres!$B$18)-Paramètres!$B$17,0)*Paramètres!$C$18+MAX(MIN(BY11,Paramètres!$B$19)-Paramètres!$B$18,0)*Paramètres!$C$19,0)</f>
        <v>0</v>
      </c>
      <c r="CC11" s="108">
        <f>(C11-SUM(D11:N11)+MIN(CC10,0))*(B11&lt;=Simulation!$F$24)</f>
        <v>-17909.300120200583</v>
      </c>
      <c r="CD11" s="108">
        <f>(Simulation!$F$22-(Simulation!$C$13-SUM($I$8:$N$37)))*(B11=Simulation!$F$24)</f>
        <v>0</v>
      </c>
      <c r="CE11" s="108">
        <f>MAX(MIN(CC11+CD11,Paramètres!$B$17)*Paramètres!$C$17+MAX(MIN(CC11+CD11,Paramètres!$B$18)-Paramètres!$B$17,0)*Paramètres!$C$18+MAX(MIN(CC11+CD11,Paramètres!$B$19)-Paramètres!$B$18,0)*Paramètres!$C$19,0)</f>
        <v>0</v>
      </c>
      <c r="CF11" s="108">
        <f>MAX(MIN(CC11,Paramètres!$B$17)*Paramètres!$C$17+MAX(MIN(CC11,Paramètres!$B$18)-Paramètres!$B$17,0)*Paramètres!$C$18+MAX(MIN(CC11,Paramètres!$B$19)-Paramètres!$B$18,0)*Paramètres!$C$19,0)</f>
        <v>0</v>
      </c>
      <c r="CG11" s="108">
        <f>MAX(CC11+CD11-CF11,0)*(1-Paramètres!$E$17)*Paramètres!$E$18</f>
        <v>0</v>
      </c>
      <c r="CH11" s="54">
        <f>MAX(CC11-CF11,0)*(1-Paramètres!$E$17)*Paramètres!$E$18</f>
        <v>0</v>
      </c>
      <c r="CI11" s="127">
        <f ca="1">OFFSET($AC11,0,VLOOKUP(Simulation!$C$27,Simulation!$Q$5:$R$14,2,FALSE))</f>
        <v>0</v>
      </c>
      <c r="CK11" s="167"/>
      <c r="CL11" s="167"/>
      <c r="CM11" s="167"/>
      <c r="CN11" s="167"/>
      <c r="CO11" s="167"/>
      <c r="CP11" s="167"/>
      <c r="CQ11" s="167"/>
      <c r="CR11" s="167"/>
      <c r="CS11" s="167"/>
      <c r="CT11" s="167"/>
      <c r="CU11" s="167"/>
      <c r="CV11" s="167"/>
    </row>
    <row r="12" spans="2:100" x14ac:dyDescent="0.2">
      <c r="B12" s="40">
        <f t="shared" si="0"/>
        <v>5</v>
      </c>
      <c r="C12" s="143">
        <f>SUMPRODUCT('Détail trésorerie'!$H$8:$H$367*('Détail trésorerie'!$B$8:$B$367&gt;$B11*12)*('Détail trésorerie'!$B$8:$B$367&lt;=$B12*12))</f>
        <v>12487.248119999997</v>
      </c>
      <c r="D12" s="143">
        <f>SUMPRODUCT('Détail trésorerie'!$E$8:$E$367*('Détail trésorerie'!$B$8:$B$367&gt;$B11*12)*('Détail trésorerie'!$B$8:$B$367&lt;=$B12*12))</f>
        <v>2146.8780955097427</v>
      </c>
      <c r="E12" s="144">
        <f>SUMPRODUCT('Détail trésorerie'!$J$8:$J$367*('Détail trésorerie'!$B$8:$B$367&gt;$B11*12)*('Détail trésorerie'!$B$8:$B$367&lt;=$B12*12))</f>
        <v>1560.9060149999996</v>
      </c>
      <c r="F12" s="144">
        <f>SUMPRODUCT('Détail trésorerie'!$K$8:$K$367*('Détail trésorerie'!$B$8:$B$367&gt;$B11*12)*('Détail trésorerie'!$B$8:$B$367&lt;=$B12*12))</f>
        <v>1290.3489724000001</v>
      </c>
      <c r="G12" s="144">
        <f>SUMPRODUCT('Détail trésorerie'!$L$8:$L$367*('Détail trésorerie'!$B$8:$B$367&gt;$B11*12)*('Détail trésorerie'!$B$8:$B$367&lt;=$B12*12))</f>
        <v>624.36240599999985</v>
      </c>
      <c r="H12" s="145">
        <f>SUMPRODUCT('Détail trésorerie'!$M$8:$M$367*('Détail trésorerie'!$B$8:$B$367&gt;$B11*12)*('Détail trésorerie'!$B$8:$B$367&lt;=$B12*12))</f>
        <v>460.86040100000014</v>
      </c>
      <c r="I12" s="126">
        <f>MAX(MIN(Paramètres!$E$3*Simulation!$C$7*Paramètres!$C$3,Simulation!$C$7*Paramètres!$E$3-SUM(I$8:$I11)),0)*(B12&lt;=Simulation!$F$24)</f>
        <v>0</v>
      </c>
      <c r="J12" s="108">
        <f>MAX(MIN(Paramètres!$E$4*Simulation!$C$7*Paramètres!$C$4,Simulation!$C$7*Paramètres!$E$4-SUM($J$8:J11)),0)*(B12&lt;=Simulation!$F$24)</f>
        <v>2700</v>
      </c>
      <c r="K12" s="108">
        <f>MAX(MIN(Paramètres!$E$5*Simulation!$C$8*Paramètres!$C$5,Paramètres!$E$5*Simulation!$C$8-SUM($K$8:K11)),0)*(B12&lt;=Simulation!$F$24)</f>
        <v>2148</v>
      </c>
      <c r="L12" s="108">
        <v>0</v>
      </c>
      <c r="M12" s="108">
        <v>0</v>
      </c>
      <c r="N12" s="108">
        <f>MAX(MIN(Paramètres!$C$6*(Simulation!$C$10+Simulation!$C$11+Simulation!$C$12),(Simulation!$C$10+Simulation!$C$11+Simulation!$C$12)-SUM(N$8:N11)),0)*(B12&lt;=Simulation!$F$24)</f>
        <v>4120</v>
      </c>
      <c r="O12" s="148">
        <f>25000*8/2*(1+Emprunteur!$F$7)^$B12</f>
        <v>105101.00500999999</v>
      </c>
      <c r="P12" s="165">
        <f>0*(1+Emprunteur!$F$8)^$B12</f>
        <v>0</v>
      </c>
      <c r="Q12" s="165">
        <f>0*(1+Emprunteur!$F$9)^$B12</f>
        <v>0</v>
      </c>
      <c r="R12" s="165">
        <f>0*(1+Emprunteur!$F$10)^$B12</f>
        <v>0</v>
      </c>
      <c r="S12" s="108">
        <f t="shared" si="5"/>
        <v>105101.00500999999</v>
      </c>
      <c r="T12" s="157">
        <v>1</v>
      </c>
      <c r="U12" s="157">
        <v>1</v>
      </c>
      <c r="V12" s="108">
        <f>(MAX(MIN(Paramètres!$B$9,S12/T12),0)*Paramètres!$C$9+MAX(MIN(Paramètres!$B$10,S12/T12)-Paramètres!$B$9,0)*Paramètres!$C$10+MAX(MIN(Paramètres!$B$11,S12/T12)-Paramètres!$B$10,0)*Paramètres!$C$11+MAX(MIN(Paramètres!$B$12,S12/T12)-Paramètres!$B$11,0)*Paramètres!$C$12+MAX(MIN(Paramètres!$B$13,S12/T12)-Paramètres!$B$12,0)*Paramètres!$C$13)*T12</f>
        <v>28042.422054099996</v>
      </c>
      <c r="W12" s="108">
        <f>(MAX(MIN(Paramètres!$B$9,S12/U12),0)*Paramètres!$C$9+MAX(MIN(Paramètres!$B$10,S12/U12)-Paramètres!$B$9,0)*Paramètres!$C$10+MAX(MIN(Paramètres!$B$11,S12/U12)-Paramètres!$B$10,0)*Paramètres!$C$11+MAX(MIN(Paramètres!$B$12,S12/U12)-Paramètres!$B$11,0)*Paramètres!$C$12+MAX(MIN(Paramètres!$B$13,S12/U12)-Paramètres!$B$12,0)*Paramètres!$C$13)*U12</f>
        <v>28042.422054099996</v>
      </c>
      <c r="X12" s="108">
        <f>MAX(V12,W12-Paramètres!$E$13*(T12-U12)*2)+MAX(P12,0)*Paramètres!$E$9+MAX(Q12,0)*Paramètres!$E$9+MAX(R12*Paramètres!$E$12,Paramètres!$E$11)</f>
        <v>29187.422054099996</v>
      </c>
      <c r="Y12" s="126">
        <f>(C12-SUM(D12:N12)+MIN(Y11,0))*(B12&lt;=Simulation!$F$24)</f>
        <v>-20473.407890110328</v>
      </c>
      <c r="Z12" s="108">
        <f>(MAX(MIN(Paramètres!$B$9,(O12+MAX(P12,0)+MAX(Q12+Y12,0)+R12)/T12),0)*Paramètres!$C$9+MAX(MIN(Paramètres!$B$10,(O12+MAX(P12,0)+MAX(Q12+Y12,0)+R12)/T12)-Paramètres!$B$9,0)*Paramètres!$C$10+MAX(MIN(Paramètres!$B$11,(O12+MAX(P12,0)+MAX(Q12+Y12,0)+R12)/T12)-Paramètres!$B$10,0)*Paramètres!$C$11+MAX(MIN(Paramètres!$B$12,(O12+MAX(P12,0)+MAX(Q12+Y12,0)+R12)/T12)-Paramètres!$B$11,0)*Paramètres!$C$12+MAX(MIN(Paramètres!$B$13,(O12+MAX(P12,0)+MAX(Q12+Y12,0)+R12)/T12)-Paramètres!$B$12,0)*Paramètres!$C$13)*T12</f>
        <v>28042.422054099996</v>
      </c>
      <c r="AA12" s="108">
        <f>(MAX(MIN(Paramètres!$B$9,(O12+MAX(P12,0)+MAX(Q12+Y12,0)+R12)/U12),0)*Paramètres!$C$9+MAX(MIN(Paramètres!$B$10,(O12+MAX(P12,0)+MAX(Q12+Y12,0)+R12)/U12)-Paramètres!$B$9,0)*Paramètres!$C$10+MAX(MIN(Paramètres!$B$11,(O12+MAX(P12,0)+MAX(Q12+Y12,0)+R12)/U12)-Paramètres!$B$10,0)*Paramètres!$C$11+MAX(MIN(Paramètres!$B$12,(O12+MAX(P12,0)+MAX(Q12+Y12,0)+R12)/U12)-Paramètres!$B$11,0)*Paramètres!$C$12+MAX(MIN(Paramètres!$B$13,(O12+MAX(P12,0)+MAX(Q12+Y12,0)+R12)/U12)-Paramètres!$B$12,0)*Paramètres!$C$13)*U12</f>
        <v>28042.422054099996</v>
      </c>
      <c r="AB12" s="108">
        <f>MAX(Z12,AA12-Paramètres!$E$13*(T12-U12)*2)+MAX(P12,0)*Paramètres!$E$9+MAX(Q12+Y12,0)*Paramètres!$E$9+MAX(R12*Paramètres!$E$12,Paramètres!$E$11)</f>
        <v>29187.422054099996</v>
      </c>
      <c r="AC12" s="108">
        <f t="shared" si="6"/>
        <v>0</v>
      </c>
      <c r="AD12" s="149">
        <f t="shared" si="1"/>
        <v>6243.6240599999983</v>
      </c>
      <c r="AE12" s="108">
        <f>(MAX(MIN(Paramètres!$B$9,(O12+MAX(P12,0)+MAX(Q12+AD12,0)+R12)/T12),0)*Paramètres!$C$9+MAX(MIN(Paramètres!$B$10,(O12+MAX(P12,0)+MAX(Q12+AD12,0)+R12)/T12)-Paramètres!$B$9,0)*Paramètres!$C$10+MAX(MIN(Paramètres!$B$11,(O12+MAX(P12,0)+MAX(Q12+AD12,0)+R12)/T12)-Paramètres!$B$10,0)*Paramètres!$C$11+MAX(MIN(Paramètres!$B$12,(O12+MAX(P12,0)+MAX(Q12+AD12,0)+R12)/T12)-Paramètres!$B$11,0)*Paramètres!$C$12+MAX(MIN(Paramètres!$B$13,(O12+MAX(P12,0)+MAX(Q12+AD12,0)+R12)/T12)-Paramètres!$B$12,0)*Paramètres!$C$13)*T12</f>
        <v>30602.307918699997</v>
      </c>
      <c r="AF12" s="108">
        <f>(MAX(MIN(Paramètres!$B$9,(O12+MAX(P12,0)+MAX(Q12+AD12,0)+R12)/U12),0)*Paramètres!$C$9+MAX(MIN(Paramètres!$B$10,(O12+MAX(P12,0)+MAX(Q12+AD12,0)+R12)/U12)-Paramètres!$B$9,0)*Paramètres!$C$10+MAX(MIN(Paramètres!$B$11,(O12+MAX(P12,0)+MAX(Q12+AD12,0)+R12)/U12)-Paramètres!$B$10,0)*Paramètres!$C$11+MAX(MIN(Paramètres!$B$12,(O12+MAX(P12,0)+MAX(Q12+AD12,0)+R12)/U12)-Paramètres!$B$11,0)*Paramètres!$C$12+MAX(MIN(Paramètres!$B$13,(O12+MAX(P12,0)+MAX(Q12+AD12,0)+R12)/U12)-Paramètres!$B$12,0)*Paramètres!$C$13)*U12</f>
        <v>30602.307918699997</v>
      </c>
      <c r="AG12" s="108">
        <f>MAX(AE12,AF12-Paramètres!$E$13*(T12-U12)*2)+MAX(P12,0)*Paramètres!$E$9+MAX(Q12+AD12,0)*Paramètres!$E$9+MAX(R12*Paramètres!$E$12,Paramètres!$E$11)</f>
        <v>32821.211257019997</v>
      </c>
      <c r="AH12" s="150">
        <f t="shared" si="7"/>
        <v>3633.7892029200011</v>
      </c>
      <c r="AI12" s="149">
        <f t="shared" si="8"/>
        <v>6243.6240599999983</v>
      </c>
      <c r="AJ12" s="108">
        <f>(MAX(MIN(Paramètres!$B$9,(O12+MAX(P12,0)+MAX(Q12+AI12,0)+R12)/T12),0)*Paramètres!$C$9+MAX(MIN(Paramètres!$B$10,(O12+MAX(P12,0)+MAX(Q12+AI12,0)+R12)/T12)-Paramètres!$B$9,0)*Paramètres!$C$10+MAX(MIN(Paramètres!$B$11,(O12+MAX(P12,0)+MAX(Q12+AI12,0)+R12)/T12)-Paramètres!$B$10,0)*Paramètres!$C$11+MAX(MIN(Paramètres!$B$12,(O12+MAX(P12,0)+MAX(Q12+AI12,0)+R12)/T12)-Paramètres!$B$11,0)*Paramètres!$C$12+MAX(MIN(Paramètres!$B$13,(O12+MAX(P12,0)+MAX(Q12+AI12,0)+R12)/T12)-Paramètres!$B$12,0)*Paramètres!$C$13)*T12</f>
        <v>30602.307918699997</v>
      </c>
      <c r="AK12" s="108">
        <f>(MAX(MIN(Paramètres!$B$9,(O12+MAX(P12,0)+MAX(Q12+AI12,0)+R12)/U12),0)*Paramètres!$C$9+MAX(MIN(Paramètres!$B$10,(O12+MAX(P12,0)+MAX(Q12+AI12,0)+R12)/U12)-Paramètres!$B$9,0)*Paramètres!$C$10+MAX(MIN(Paramètres!$B$11,(O12+MAX(P12,0)+MAX(Q12+AI12,0)+R12)/U12)-Paramètres!$B$10,0)*Paramètres!$C$11+MAX(MIN(Paramètres!$B$12,(O12+MAX(P12,0)+MAX(Q12+AI12,0)+R12)/U12)-Paramètres!$B$11,0)*Paramètres!$C$12+MAX(MIN(Paramètres!$B$13,(O12+MAX(P12,0)+MAX(Q12+AI12,0)+R12)/U12)-Paramètres!$B$12,0)*Paramètres!$C$13)*U12</f>
        <v>30602.307918699997</v>
      </c>
      <c r="AL12" s="108">
        <f>MAX(AJ12,AK12-Paramètres!$E$13*(T12-U12)*2)+MAX(P12,0)*Paramètres!$E$9+MAX(Q12+AI12,0)*Paramètres!$E$9+MAX(R12*Paramètres!$E$12,Paramètres!$E$11)</f>
        <v>32821.211257019997</v>
      </c>
      <c r="AM12" s="150">
        <f>MAX(AL12-11%/9*Simulation!$C$7*(B12&lt;=9),0)-X12</f>
        <v>2167.1225362533332</v>
      </c>
      <c r="AN12" s="149">
        <f>MAX(MAX(C12-D12,0)-SUM(E12:H12),-MIN(SUM(O12:R12),Paramètres!$E$19+MAX(P12,0)))</f>
        <v>6403.8922300902541</v>
      </c>
      <c r="AO12" s="108">
        <f t="shared" si="18"/>
        <v>0</v>
      </c>
      <c r="AP12" s="108">
        <f>MIN(SUM($AO$8:AO12)-SUM($AR$8:AR11),0)</f>
        <v>-4557.3001202005798</v>
      </c>
      <c r="AQ12" s="108">
        <f t="shared" si="9"/>
        <v>1846.5921098896742</v>
      </c>
      <c r="AR12" s="108">
        <f t="shared" si="10"/>
        <v>-4557.3001202005798</v>
      </c>
      <c r="AS12" s="108">
        <f>(MAX(MIN(Paramètres!$B$9,(O12+P12+AQ12+MAX(Q12,0)+R12)/T12),0)*Paramètres!$C$9+MAX(MIN(Paramètres!$B$10,(O12+P12+AQ12+MAX(Q12,0)+R12)/T12)-Paramètres!$B$9,0)*Paramètres!$C$10+MAX(MIN(Paramètres!$B$11,(O12+P12+AQ12+MAX(Q12,0)+R12)/T12)-Paramètres!$B$10,0)*Paramètres!$C$11+MAX(MIN(Paramètres!$B$12,(O12+P12+AQ12+MAX(Q12,0)+R12)/T12)-Paramètres!$B$11,0)*Paramètres!$C$12+MAX(MIN(Paramètres!$B$13,(O12+P12+AQ12+MAX(Q12,0)+R12)/T12)-Paramètres!$B$12,0)*Paramètres!$C$13)*T12</f>
        <v>28799.524819154765</v>
      </c>
      <c r="AT12" s="108">
        <f>(MAX(MIN(Paramètres!$B$9,(O12+P12+AQ12+MAX(Q12,0)+R12)/U12),0)*Paramètres!$C$9+MAX(MIN(Paramètres!$B$10,(O12+P12+AQ12+MAX(Q12,0)+R12)/U12)-Paramètres!$B$9,0)*Paramètres!$C$10+MAX(MIN(Paramètres!$B$11,(O12+P12+AQ12+MAX(Q12,0)+R12)/U12)-Paramètres!$B$10,0)*Paramètres!$C$11+MAX(MIN(Paramètres!$B$12,(O12+P12+AQ12+MAX(Q12,0)+R12)/U12)-Paramètres!$B$11,0)*Paramètres!$C$12+MAX(MIN(Paramètres!$B$13,(O12+P12+AQ12+MAX(Q12,0)+R12)/U12)-Paramètres!$B$12,0)*Paramètres!$C$13)*U12</f>
        <v>28799.524819154765</v>
      </c>
      <c r="AU12" s="108">
        <f>MAX(AS12,AT12-Paramètres!$E$13*(T12-U12)*2)+MAX(P12+AQ12,0)*Paramètres!$E$9+MAX(Q12,0)*Paramètres!$E$9+MAX(R12*Paramètres!$E$12,Paramètres!$E$11)</f>
        <v>30262.13866205579</v>
      </c>
      <c r="AV12" s="150">
        <f t="shared" si="2"/>
        <v>1074.7166079557937</v>
      </c>
      <c r="AW12" s="108">
        <f t="shared" si="3"/>
        <v>8741.0736839999972</v>
      </c>
      <c r="AX12" s="108">
        <f>(MAX(MIN(Paramètres!$B$9,(O12+MAX(P12+AW12,0)+MAX(Q12,0)+R12)/T12),0)*Paramètres!$C$9+MAX(MIN(Paramètres!$B$10,(O12+MAX(P12+AW12,0)+MAX(Q12,0)+R12)/T12)-Paramètres!$B$9,0)*Paramètres!$C$10+MAX(MIN(Paramètres!$B$11,(O12+MAX(P12+AW12,0)+MAX(Q12,0)+R12)/T12)-Paramètres!$B$10,0)*Paramètres!$C$11+MAX(MIN(Paramètres!$B$12,(O12+MAX(P12+AW12,0)+MAX(Q12,0)+R12)/T12)-Paramètres!$B$11,0)*Paramètres!$C$12+MAX(MIN(Paramètres!$B$13,(O12+MAX(P12+AW12,0)+MAX(Q12,0)+R12)/T12)-Paramètres!$B$12,0)*Paramètres!$C$13)*T12</f>
        <v>31626.262264539997</v>
      </c>
      <c r="AY12" s="108">
        <f>(MAX(MIN(Paramètres!$B$9,(O12+MAX(P12+AW12,0)+MAX(Q12,0)+R12)/U12),0)*Paramètres!$C$9+MAX(MIN(Paramètres!$B$10,(O12+MAX(P12+AW12,0)+MAX(Q12,0)+R12)/U12)-Paramètres!$B$9,0)*Paramètres!$C$10+MAX(MIN(Paramètres!$B$11,(O12+MAX(P12+AW12,0)+MAX(Q12,0)+R12)/U12)-Paramètres!$B$10,0)*Paramètres!$C$11+MAX(MIN(Paramètres!$B$12,(O12+MAX(P12+AW12,0)+MAX(Q12,0)+R12)/U12)-Paramètres!$B$11,0)*Paramètres!$C$12+MAX(MIN(Paramètres!$B$13,(O12+MAX(P12+AW12,0)+MAX(Q12,0)+R12)/U12)-Paramètres!$B$12,0)*Paramètres!$C$13)*U12</f>
        <v>31626.262264539997</v>
      </c>
      <c r="AZ12" s="108">
        <f>MAX(AX12,AY12-Paramètres!$E$13*(T12-U12)*2)+MAX(P12+AW12,0)*Paramètres!$E$9+MAX(Q12,0)*Paramètres!$E$9+MAX(R12*Paramètres!$E$12,Paramètres!$E$11)</f>
        <v>34274.726938187996</v>
      </c>
      <c r="BA12" s="108">
        <f t="shared" si="4"/>
        <v>5087.3048840880001</v>
      </c>
      <c r="BB12" s="149">
        <f>MAX(MAX(C12-D12,0)-SUM(E12:H12),-MIN(SUM(O12:R12),Paramètres!$E$19+MAX(P12,0)))</f>
        <v>6403.8922300902541</v>
      </c>
      <c r="BC12" s="108">
        <f t="shared" si="20"/>
        <v>0</v>
      </c>
      <c r="BD12" s="108">
        <f>MIN(SUM($BC$8:BC12)-SUM($BF$8:BF11),0)</f>
        <v>-1.8189894035458565E-12</v>
      </c>
      <c r="BE12" s="108">
        <f t="shared" si="11"/>
        <v>6403.8922300902523</v>
      </c>
      <c r="BF12" s="108">
        <f t="shared" si="12"/>
        <v>0</v>
      </c>
      <c r="BG12" s="108">
        <f>(MAX(MIN(Paramètres!$B$9,(O12+P12+BE12+MAX(Q12,0)+R12)/T12),0)*Paramètres!$C$9+MAX(MIN(Paramètres!$B$10,(O12+P12+BE12+MAX(Q12,0)+R12)/T12)-Paramètres!$B$9,0)*Paramètres!$C$10+MAX(MIN(Paramètres!$B$11,(O12+P12+BE12+MAX(Q12,0)+R12)/T12)-Paramètres!$B$10,0)*Paramètres!$C$11+MAX(MIN(Paramètres!$B$12,(O12+P12+BE12+MAX(Q12,0)+R12)/T12)-Paramètres!$B$11,0)*Paramètres!$C$12+MAX(MIN(Paramètres!$B$13,(O12+P12+BE12+MAX(Q12,0)+R12)/T12)-Paramètres!$B$12,0)*Paramètres!$C$13)*T12</f>
        <v>30668.017868436997</v>
      </c>
      <c r="BH12" s="108">
        <f>(MAX(MIN(Paramètres!$B$9,(O12+P12+BE12+MAX(Q12,0)+R12)/U12),0)*Paramètres!$C$9+MAX(MIN(Paramètres!$B$10,(O12+P12+BE12+MAX(Q12,0)+R12)/U12)-Paramètres!$B$9,0)*Paramètres!$C$10+MAX(MIN(Paramètres!$B$11,(O12+P12+BE12+MAX(Q12,0)+R12)/U12)-Paramètres!$B$10,0)*Paramètres!$C$11+MAX(MIN(Paramètres!$B$12,(O12+P12+BE12+MAX(Q12,0)+R12)/U12)-Paramètres!$B$11,0)*Paramètres!$C$12+MAX(MIN(Paramètres!$B$13,(O12+P12+BE12+MAX(Q12,0)+R12)/U12)-Paramètres!$B$12,0)*Paramètres!$C$13)*U12</f>
        <v>30668.017868436997</v>
      </c>
      <c r="BI12" s="108">
        <f>MAX(BG12,BH12-Paramètres!$E$13*(T12-U12)*2)+MAX(P12+BE12,0)*Paramètres!$E$9+MAX(Q12,0)*Paramètres!$E$9+MAX(R12*Paramètres!$E$12,Paramètres!$E$11)</f>
        <v>32914.487332012519</v>
      </c>
      <c r="BJ12" s="150">
        <f>MAX(BI12-IFERROR(VLOOKUP(B12,Paramètres!$B$28:$C$39,2,FALSE),0)*MIN(MIN((Simulation!$C$7+Simulation!$C$12+Simulation!$C$8+Simulation!$C$10)/Simulation!$C$28,Paramètres!$C$26)*Simulation!$C$28,Paramètres!$C$25),0)-X12</f>
        <v>692.56527791252302</v>
      </c>
      <c r="BK12" s="108">
        <f t="shared" si="13"/>
        <v>8741.0736839999972</v>
      </c>
      <c r="BL12" s="108">
        <f>(MAX(MIN(Paramètres!$B$9,(O12+MAX(P12+BK12,0)+MAX(Q12,0)+R12)/T12),0)*Paramètres!$C$9+MAX(MIN(Paramètres!$B$10,(O12+MAX(P12+BK12,0)+MAX(Q12,0)+R12)/T12)-Paramètres!$B$9,0)*Paramètres!$C$10+MAX(MIN(Paramètres!$B$11,(O12+MAX(P12+BK12,0)+MAX(Q12,0)+R12)/T12)-Paramètres!$B$10,0)*Paramètres!$C$11+MAX(MIN(Paramètres!$B$12,(O12+MAX(P12+BK12,0)+MAX(Q12,0)+R12)/T12)-Paramètres!$B$11,0)*Paramètres!$C$12+MAX(MIN(Paramètres!$B$13,(O12+MAX(P12+BK12,0)+MAX(Q12,0)+R12)/T12)-Paramètres!$B$12,0)*Paramètres!$C$13)*T12</f>
        <v>31626.262264539997</v>
      </c>
      <c r="BM12" s="108">
        <f>(MAX(MIN(Paramètres!$B$9,(O12+MAX(P12+BK12,0)+MAX(Q12,0)+R12)/U12),0)*Paramètres!$C$9+MAX(MIN(Paramètres!$B$10,(O12+MAX(P12+BK12,0)+MAX(Q12,0)+R12)/U12)-Paramètres!$B$9,0)*Paramètres!$C$10+MAX(MIN(Paramètres!$B$11,(O12+MAX(P12+BK12,0)+MAX(Q12,0)+R12)/U12)-Paramètres!$B$10,0)*Paramètres!$C$11+MAX(MIN(Paramètres!$B$12,(O12+MAX(P12+BK12,0)+MAX(Q12,0)+R12)/U12)-Paramètres!$B$11,0)*Paramètres!$C$12+MAX(MIN(Paramètres!$B$13,(O12+MAX(P12+BK12,0)+MAX(Q12,0)+R12)/U12)-Paramètres!$B$12,0)*Paramètres!$C$13)*U12</f>
        <v>31626.262264539997</v>
      </c>
      <c r="BN12" s="108">
        <f>MAX(BL12,BM12-Paramètres!$E$13*(T12-U12)*2)+MAX(P12+BK12,0)*Paramètres!$E$9+MAX(Q12,0)*Paramètres!$E$9+MAX(R12*Paramètres!$E$12,Paramètres!$E$11)</f>
        <v>34274.726938187996</v>
      </c>
      <c r="BO12" s="108">
        <f>MAX(BN12-IFERROR(VLOOKUP(B12,Paramètres!$B$28:$C$39,2,FALSE),0)*MIN(MIN((Simulation!$C$7+Simulation!$C$12+Simulation!$C$8+Simulation!$C$10)/Simulation!$C$28,Paramètres!$C$26)*Simulation!$C$28,Paramètres!$C$25),0)-X12</f>
        <v>2052.8048840880001</v>
      </c>
      <c r="BP12" s="126">
        <f t="shared" si="14"/>
        <v>-2564.1077699097459</v>
      </c>
      <c r="BQ12" s="108">
        <f t="shared" si="15"/>
        <v>0</v>
      </c>
      <c r="BR12" s="108">
        <f>MIN(SUM($BQ$8:BQ12)-SUM($BT$8:BT11),0)</f>
        <v>-2548.0000000000027</v>
      </c>
      <c r="BS12" s="108">
        <f t="shared" si="19"/>
        <v>-2564.1077699097459</v>
      </c>
      <c r="BT12" s="108">
        <f t="shared" si="16"/>
        <v>0</v>
      </c>
      <c r="BU12" s="108">
        <f>(MAX(MIN(Paramètres!$B$9,(O12+MAX(P12,0)+MAX(Q12,0)+R12+BS12)/T12),0)*Paramètres!$C$9+MAX(MIN(Paramètres!$B$10,(O12+MAX(P12,0)+MAX(Q12,0)+R12+BS12)/T12)-Paramètres!$B$9,0)*Paramètres!$C$10+MAX(MIN(Paramètres!$B$11,(O12+MAX(P12,0)+MAX(Q12,0)+R12+BS12)/T12)-Paramètres!$B$10,0)*Paramètres!$C$11+MAX(MIN(Paramètres!$B$12,(O12+MAX(P12,0)+MAX(Q12,0)+R12+BS12)/T12)-Paramètres!$B$11,0)*Paramètres!$C$12+MAX(MIN(Paramètres!$B$13,(O12+MAX(P12,0)+MAX(Q12,0)+R12+BS12)/T12)-Paramètres!$B$12,0)*Paramètres!$C$13)*T12</f>
        <v>26991.137868436999</v>
      </c>
      <c r="BV12" s="108">
        <f>(MAX(MIN(Paramètres!$B$9,(O12+MAX(P12,0)+MAX(Q12,0)+R12+BS12)/U12),0)*Paramètres!$C$9+MAX(MIN(Paramètres!$B$10,(O12+MAX(P12,0)+MAX(Q12,0)+R12+BS12)/U12)-Paramètres!$B$9,0)*Paramètres!$C$10+MAX(MIN(Paramètres!$B$11,(O12+MAX(P12,0)+MAX(Q12,0)+R12+BS12)/U12)-Paramètres!$B$10,0)*Paramètres!$C$11+MAX(MIN(Paramètres!$B$12,(O12+MAX(P12,0)+MAX(Q12,0)+R12+BS12)/U12)-Paramètres!$B$11,0)*Paramètres!$C$12+MAX(MIN(Paramètres!$B$13,(O12+MAX(P12,0)+MAX(Q12,0)+R12+BS12)/U12)-Paramètres!$B$12,0)*Paramètres!$C$13)*U12</f>
        <v>26991.137868436999</v>
      </c>
      <c r="BW12" s="108">
        <f>MAX(BU12,BV12-Paramètres!$E$13*(T12-U12)*2)+MAX(P12,0)*Paramètres!$E$9+MAX(Q12,0)*Paramètres!$E$9+MAX((R12+BS12)*Paramètres!$E$12,Paramètres!$E$11)</f>
        <v>28136.137868436999</v>
      </c>
      <c r="BX12" s="108">
        <f t="shared" si="17"/>
        <v>-1051.2841856629966</v>
      </c>
      <c r="BY12" s="149">
        <f>(C12-SUM(D12:N12)+MIN(BY11,0))*(B12&lt;=Simulation!$F$24)</f>
        <v>-20473.407890110328</v>
      </c>
      <c r="BZ12" s="108">
        <f>(Simulation!$F$22-(Simulation!$C$13-SUM($I$8:$N$37)))*(B12=Simulation!$F$24)</f>
        <v>0</v>
      </c>
      <c r="CA12" s="108">
        <f>MAX(MIN(BY12+BZ12,Paramètres!$B$17)*Paramètres!$C$17+MAX(MIN(BY12+BZ12,Paramètres!$B$18)-Paramètres!$B$17,0)*Paramètres!$C$18+MAX(MIN(BY12+BZ12,Paramètres!$B$19)-Paramètres!$B$18,0)*Paramètres!$C$19,0)</f>
        <v>0</v>
      </c>
      <c r="CB12" s="150">
        <f>MAX(MIN(BY12,Paramètres!$B$17)*Paramètres!$C$17+MAX(MIN(BY12,Paramètres!$B$18)-Paramètres!$B$17,0)*Paramètres!$C$18+MAX(MIN(BY12,Paramètres!$B$19)-Paramètres!$B$18,0)*Paramètres!$C$19,0)</f>
        <v>0</v>
      </c>
      <c r="CC12" s="108">
        <f>(C12-SUM(D12:N12)+MIN(CC11,0))*(B12&lt;=Simulation!$F$24)</f>
        <v>-20473.407890110328</v>
      </c>
      <c r="CD12" s="108">
        <f>(Simulation!$F$22-(Simulation!$C$13-SUM($I$8:$N$37)))*(B12=Simulation!$F$24)</f>
        <v>0</v>
      </c>
      <c r="CE12" s="108">
        <f>MAX(MIN(CC12+CD12,Paramètres!$B$17)*Paramètres!$C$17+MAX(MIN(CC12+CD12,Paramètres!$B$18)-Paramètres!$B$17,0)*Paramètres!$C$18+MAX(MIN(CC12+CD12,Paramètres!$B$19)-Paramètres!$B$18,0)*Paramètres!$C$19,0)</f>
        <v>0</v>
      </c>
      <c r="CF12" s="108">
        <f>MAX(MIN(CC12,Paramètres!$B$17)*Paramètres!$C$17+MAX(MIN(CC12,Paramètres!$B$18)-Paramètres!$B$17,0)*Paramètres!$C$18+MAX(MIN(CC12,Paramètres!$B$19)-Paramètres!$B$18,0)*Paramètres!$C$19,0)</f>
        <v>0</v>
      </c>
      <c r="CG12" s="108">
        <f>MAX(CC12+CD12-CF12,0)*(1-Paramètres!$E$17)*Paramètres!$E$18</f>
        <v>0</v>
      </c>
      <c r="CH12" s="54">
        <f>MAX(CC12-CF12,0)*(1-Paramètres!$E$17)*Paramètres!$E$18</f>
        <v>0</v>
      </c>
      <c r="CI12" s="127">
        <f ca="1">OFFSET($AC12,0,VLOOKUP(Simulation!$C$27,Simulation!$Q$5:$R$14,2,FALSE))</f>
        <v>0</v>
      </c>
      <c r="CK12" s="167"/>
      <c r="CL12" s="167"/>
      <c r="CM12" s="167"/>
      <c r="CN12" s="167"/>
      <c r="CO12" s="167"/>
      <c r="CP12" s="167"/>
      <c r="CQ12" s="167"/>
      <c r="CR12" s="167"/>
      <c r="CS12" s="167"/>
      <c r="CT12" s="167"/>
      <c r="CU12" s="167"/>
      <c r="CV12" s="167"/>
    </row>
    <row r="13" spans="2:100" x14ac:dyDescent="0.2">
      <c r="B13" s="40">
        <f t="shared" si="0"/>
        <v>6</v>
      </c>
      <c r="C13" s="143">
        <f>SUMPRODUCT('Détail trésorerie'!$H$8:$H$367*('Détail trésorerie'!$B$8:$B$367&gt;$B12*12)*('Détail trésorerie'!$B$8:$B$367&lt;=$B13*12))</f>
        <v>12612.120601199998</v>
      </c>
      <c r="D13" s="143">
        <f>SUMPRODUCT('Détail trésorerie'!$E$8:$E$367*('Détail trésorerie'!$B$8:$B$367&gt;$B12*12)*('Détail trésorerie'!$B$8:$B$367&lt;=$B13*12))</f>
        <v>2023.2788403092486</v>
      </c>
      <c r="E13" s="144">
        <f>SUMPRODUCT('Détail trésorerie'!$J$8:$J$367*('Détail trésorerie'!$B$8:$B$367&gt;$B12*12)*('Détail trésorerie'!$B$8:$B$367&lt;=$B13*12))</f>
        <v>1576.5150751499998</v>
      </c>
      <c r="F13" s="144">
        <f>SUMPRODUCT('Détail trésorerie'!$K$8:$K$367*('Détail trésorerie'!$B$8:$B$367&gt;$B12*12)*('Détail trésorerie'!$B$8:$B$367&lt;=$B13*12))</f>
        <v>1303.252462124</v>
      </c>
      <c r="G13" s="144">
        <f>SUMPRODUCT('Détail trésorerie'!$L$8:$L$367*('Détail trésorerie'!$B$8:$B$367&gt;$B12*12)*('Détail trésorerie'!$B$8:$B$367&lt;=$B13*12))</f>
        <v>630.60603005999997</v>
      </c>
      <c r="H13" s="145">
        <f>SUMPRODUCT('Détail trésorerie'!$M$8:$M$367*('Détail trésorerie'!$B$8:$B$367&gt;$B12*12)*('Détail trésorerie'!$B$8:$B$367&lt;=$B13*12))</f>
        <v>461.90100500999989</v>
      </c>
      <c r="I13" s="126">
        <f>MAX(MIN(Paramètres!$E$3*Simulation!$C$7*Paramètres!$C$3,Simulation!$C$7*Paramètres!$E$3-SUM(I$8:$I12)),0)*(B13&lt;=Simulation!$F$24)</f>
        <v>0</v>
      </c>
      <c r="J13" s="108">
        <f>MAX(MIN(Paramètres!$E$4*Simulation!$C$7*Paramètres!$C$4,Simulation!$C$7*Paramètres!$E$4-SUM($J$8:J12)),0)*(B13&lt;=Simulation!$F$24)</f>
        <v>2700</v>
      </c>
      <c r="K13" s="108">
        <f>MAX(MIN(Paramètres!$E$5*Simulation!$C$8*Paramètres!$C$5,Paramètres!$E$5*Simulation!$C$8-SUM($K$8:K12)),0)*(B13&lt;=Simulation!$F$24)</f>
        <v>2148</v>
      </c>
      <c r="L13" s="108">
        <v>0</v>
      </c>
      <c r="M13" s="108">
        <v>0</v>
      </c>
      <c r="N13" s="108">
        <f>MAX(MIN(Paramètres!$C$6*(Simulation!$C$10+Simulation!$C$11+Simulation!$C$12),(Simulation!$C$10+Simulation!$C$11+Simulation!$C$12)-SUM(N$8:N12)),0)*(B13&lt;=Simulation!$F$24)</f>
        <v>0</v>
      </c>
      <c r="O13" s="148">
        <f>25000*8/2*(1+Emprunteur!$F$7)^$B13</f>
        <v>106152.01506010002</v>
      </c>
      <c r="P13" s="165">
        <f>0*(1+Emprunteur!$F$8)^$B13</f>
        <v>0</v>
      </c>
      <c r="Q13" s="165">
        <f>0*(1+Emprunteur!$F$9)^$B13</f>
        <v>0</v>
      </c>
      <c r="R13" s="165">
        <f>0*(1+Emprunteur!$F$10)^$B13</f>
        <v>0</v>
      </c>
      <c r="S13" s="108">
        <f t="shared" si="5"/>
        <v>106152.01506010002</v>
      </c>
      <c r="T13" s="157">
        <v>1</v>
      </c>
      <c r="U13" s="157">
        <v>1</v>
      </c>
      <c r="V13" s="108">
        <f>(MAX(MIN(Paramètres!$B$9,S13/T13),0)*Paramètres!$C$9+MAX(MIN(Paramètres!$B$10,S13/T13)-Paramètres!$B$9,0)*Paramètres!$C$10+MAX(MIN(Paramètres!$B$11,S13/T13)-Paramètres!$B$10,0)*Paramètres!$C$11+MAX(MIN(Paramètres!$B$12,S13/T13)-Paramètres!$B$11,0)*Paramètres!$C$12+MAX(MIN(Paramètres!$B$13,S13/T13)-Paramètres!$B$12,0)*Paramètres!$C$13)*T13</f>
        <v>28473.336174641008</v>
      </c>
      <c r="W13" s="108">
        <f>(MAX(MIN(Paramètres!$B$9,S13/U13),0)*Paramètres!$C$9+MAX(MIN(Paramètres!$B$10,S13/U13)-Paramètres!$B$9,0)*Paramètres!$C$10+MAX(MIN(Paramètres!$B$11,S13/U13)-Paramètres!$B$10,0)*Paramètres!$C$11+MAX(MIN(Paramètres!$B$12,S13/U13)-Paramètres!$B$11,0)*Paramètres!$C$12+MAX(MIN(Paramètres!$B$13,S13/U13)-Paramètres!$B$12,0)*Paramètres!$C$13)*U13</f>
        <v>28473.336174641008</v>
      </c>
      <c r="X13" s="108">
        <f>MAX(V13,W13-Paramètres!$E$13*(T13-U13)*2)+MAX(P13,0)*Paramètres!$E$9+MAX(Q13,0)*Paramètres!$E$9+MAX(R13*Paramètres!$E$12,Paramètres!$E$11)</f>
        <v>29618.336174641008</v>
      </c>
      <c r="Y13" s="126">
        <f>(C13-SUM(D13:N13)+MIN(Y12,0))*(B13&lt;=Simulation!$F$24)</f>
        <v>-18704.840701563575</v>
      </c>
      <c r="Z13" s="108">
        <f>(MAX(MIN(Paramètres!$B$9,(O13+MAX(P13,0)+MAX(Q13+Y13,0)+R13)/T13),0)*Paramètres!$C$9+MAX(MIN(Paramètres!$B$10,(O13+MAX(P13,0)+MAX(Q13+Y13,0)+R13)/T13)-Paramètres!$B$9,0)*Paramètres!$C$10+MAX(MIN(Paramètres!$B$11,(O13+MAX(P13,0)+MAX(Q13+Y13,0)+R13)/T13)-Paramètres!$B$10,0)*Paramètres!$C$11+MAX(MIN(Paramètres!$B$12,(O13+MAX(P13,0)+MAX(Q13+Y13,0)+R13)/T13)-Paramètres!$B$11,0)*Paramètres!$C$12+MAX(MIN(Paramètres!$B$13,(O13+MAX(P13,0)+MAX(Q13+Y13,0)+R13)/T13)-Paramètres!$B$12,0)*Paramètres!$C$13)*T13</f>
        <v>28473.336174641008</v>
      </c>
      <c r="AA13" s="108">
        <f>(MAX(MIN(Paramètres!$B$9,(O13+MAX(P13,0)+MAX(Q13+Y13,0)+R13)/U13),0)*Paramètres!$C$9+MAX(MIN(Paramètres!$B$10,(O13+MAX(P13,0)+MAX(Q13+Y13,0)+R13)/U13)-Paramètres!$B$9,0)*Paramètres!$C$10+MAX(MIN(Paramètres!$B$11,(O13+MAX(P13,0)+MAX(Q13+Y13,0)+R13)/U13)-Paramètres!$B$10,0)*Paramètres!$C$11+MAX(MIN(Paramètres!$B$12,(O13+MAX(P13,0)+MAX(Q13+Y13,0)+R13)/U13)-Paramètres!$B$11,0)*Paramètres!$C$12+MAX(MIN(Paramètres!$B$13,(O13+MAX(P13,0)+MAX(Q13+Y13,0)+R13)/U13)-Paramètres!$B$12,0)*Paramètres!$C$13)*U13</f>
        <v>28473.336174641008</v>
      </c>
      <c r="AB13" s="108">
        <f>MAX(Z13,AA13-Paramètres!$E$13*(T13-U13)*2)+MAX(P13,0)*Paramètres!$E$9+MAX(Q13+Y13,0)*Paramètres!$E$9+MAX(R13*Paramètres!$E$12,Paramètres!$E$11)</f>
        <v>29618.336174641008</v>
      </c>
      <c r="AC13" s="108">
        <f t="shared" si="6"/>
        <v>0</v>
      </c>
      <c r="AD13" s="149">
        <f t="shared" si="1"/>
        <v>6306.0603005999992</v>
      </c>
      <c r="AE13" s="108">
        <f>(MAX(MIN(Paramètres!$B$9,(O13+MAX(P13,0)+MAX(Q13+AD13,0)+R13)/T13),0)*Paramètres!$C$9+MAX(MIN(Paramètres!$B$10,(O13+MAX(P13,0)+MAX(Q13+AD13,0)+R13)/T13)-Paramètres!$B$9,0)*Paramètres!$C$10+MAX(MIN(Paramètres!$B$11,(O13+MAX(P13,0)+MAX(Q13+AD13,0)+R13)/T13)-Paramètres!$B$10,0)*Paramètres!$C$11+MAX(MIN(Paramètres!$B$12,(O13+MAX(P13,0)+MAX(Q13+AD13,0)+R13)/T13)-Paramètres!$B$11,0)*Paramètres!$C$12+MAX(MIN(Paramètres!$B$13,(O13+MAX(P13,0)+MAX(Q13+AD13,0)+R13)/T13)-Paramètres!$B$12,0)*Paramètres!$C$13)*T13</f>
        <v>31058.82089788701</v>
      </c>
      <c r="AF13" s="108">
        <f>(MAX(MIN(Paramètres!$B$9,(O13+MAX(P13,0)+MAX(Q13+AD13,0)+R13)/U13),0)*Paramètres!$C$9+MAX(MIN(Paramètres!$B$10,(O13+MAX(P13,0)+MAX(Q13+AD13,0)+R13)/U13)-Paramètres!$B$9,0)*Paramètres!$C$10+MAX(MIN(Paramètres!$B$11,(O13+MAX(P13,0)+MAX(Q13+AD13,0)+R13)/U13)-Paramètres!$B$10,0)*Paramètres!$C$11+MAX(MIN(Paramètres!$B$12,(O13+MAX(P13,0)+MAX(Q13+AD13,0)+R13)/U13)-Paramètres!$B$11,0)*Paramètres!$C$12+MAX(MIN(Paramètres!$B$13,(O13+MAX(P13,0)+MAX(Q13+AD13,0)+R13)/U13)-Paramètres!$B$12,0)*Paramètres!$C$13)*U13</f>
        <v>31058.82089788701</v>
      </c>
      <c r="AG13" s="108">
        <f>MAX(AE13,AF13-Paramètres!$E$13*(T13-U13)*2)+MAX(P13,0)*Paramètres!$E$9+MAX(Q13+AD13,0)*Paramètres!$E$9+MAX(R13*Paramètres!$E$12,Paramètres!$E$11)</f>
        <v>33288.463269590211</v>
      </c>
      <c r="AH13" s="150">
        <f t="shared" si="7"/>
        <v>3670.1270949492027</v>
      </c>
      <c r="AI13" s="149">
        <f t="shared" si="8"/>
        <v>6306.0603005999992</v>
      </c>
      <c r="AJ13" s="108">
        <f>(MAX(MIN(Paramètres!$B$9,(O13+MAX(P13,0)+MAX(Q13+AI13,0)+R13)/T13),0)*Paramètres!$C$9+MAX(MIN(Paramètres!$B$10,(O13+MAX(P13,0)+MAX(Q13+AI13,0)+R13)/T13)-Paramètres!$B$9,0)*Paramètres!$C$10+MAX(MIN(Paramètres!$B$11,(O13+MAX(P13,0)+MAX(Q13+AI13,0)+R13)/T13)-Paramètres!$B$10,0)*Paramètres!$C$11+MAX(MIN(Paramètres!$B$12,(O13+MAX(P13,0)+MAX(Q13+AI13,0)+R13)/T13)-Paramètres!$B$11,0)*Paramètres!$C$12+MAX(MIN(Paramètres!$B$13,(O13+MAX(P13,0)+MAX(Q13+AI13,0)+R13)/T13)-Paramètres!$B$12,0)*Paramètres!$C$13)*T13</f>
        <v>31058.82089788701</v>
      </c>
      <c r="AK13" s="108">
        <f>(MAX(MIN(Paramètres!$B$9,(O13+MAX(P13,0)+MAX(Q13+AI13,0)+R13)/U13),0)*Paramètres!$C$9+MAX(MIN(Paramètres!$B$10,(O13+MAX(P13,0)+MAX(Q13+AI13,0)+R13)/U13)-Paramètres!$B$9,0)*Paramètres!$C$10+MAX(MIN(Paramètres!$B$11,(O13+MAX(P13,0)+MAX(Q13+AI13,0)+R13)/U13)-Paramètres!$B$10,0)*Paramètres!$C$11+MAX(MIN(Paramètres!$B$12,(O13+MAX(P13,0)+MAX(Q13+AI13,0)+R13)/U13)-Paramètres!$B$11,0)*Paramètres!$C$12+MAX(MIN(Paramètres!$B$13,(O13+MAX(P13,0)+MAX(Q13+AI13,0)+R13)/U13)-Paramètres!$B$12,0)*Paramètres!$C$13)*U13</f>
        <v>31058.82089788701</v>
      </c>
      <c r="AL13" s="108">
        <f>MAX(AJ13,AK13-Paramètres!$E$13*(T13-U13)*2)+MAX(P13,0)*Paramètres!$E$9+MAX(Q13+AI13,0)*Paramètres!$E$9+MAX(R13*Paramètres!$E$12,Paramètres!$E$11)</f>
        <v>33288.463269590211</v>
      </c>
      <c r="AM13" s="150">
        <f>MAX(AL13-11%/9*Simulation!$C$7*(B13&lt;=9),0)-X13</f>
        <v>2203.4604282825348</v>
      </c>
      <c r="AN13" s="149">
        <f>MAX(MAX(C13-D13,0)-SUM(E13:H13),-MIN(SUM(O13:R13),Paramètres!$E$19+MAX(P13,0)))</f>
        <v>6616.5671885467491</v>
      </c>
      <c r="AO13" s="108">
        <f t="shared" si="18"/>
        <v>0</v>
      </c>
      <c r="AP13" s="108">
        <f>MIN(SUM($AO$8:AO13)-SUM($AR$8:AR12),0)</f>
        <v>0</v>
      </c>
      <c r="AQ13" s="108">
        <f t="shared" si="9"/>
        <v>6616.5671885467491</v>
      </c>
      <c r="AR13" s="108">
        <f t="shared" si="10"/>
        <v>0</v>
      </c>
      <c r="AS13" s="108">
        <f>(MAX(MIN(Paramètres!$B$9,(O13+P13+AQ13+MAX(Q13,0)+R13)/T13),0)*Paramètres!$C$9+MAX(MIN(Paramètres!$B$10,(O13+P13+AQ13+MAX(Q13,0)+R13)/T13)-Paramètres!$B$9,0)*Paramètres!$C$10+MAX(MIN(Paramètres!$B$11,(O13+P13+AQ13+MAX(Q13,0)+R13)/T13)-Paramètres!$B$10,0)*Paramètres!$C$11+MAX(MIN(Paramètres!$B$12,(O13+P13+AQ13+MAX(Q13,0)+R13)/T13)-Paramètres!$B$11,0)*Paramètres!$C$12+MAX(MIN(Paramètres!$B$13,(O13+P13+AQ13+MAX(Q13,0)+R13)/T13)-Paramètres!$B$12,0)*Paramètres!$C$13)*T13</f>
        <v>31186.12872194517</v>
      </c>
      <c r="AT13" s="108">
        <f>(MAX(MIN(Paramètres!$B$9,(O13+P13+AQ13+MAX(Q13,0)+R13)/U13),0)*Paramètres!$C$9+MAX(MIN(Paramètres!$B$10,(O13+P13+AQ13+MAX(Q13,0)+R13)/U13)-Paramètres!$B$9,0)*Paramètres!$C$10+MAX(MIN(Paramètres!$B$11,(O13+P13+AQ13+MAX(Q13,0)+R13)/U13)-Paramètres!$B$10,0)*Paramètres!$C$11+MAX(MIN(Paramètres!$B$12,(O13+P13+AQ13+MAX(Q13,0)+R13)/U13)-Paramètres!$B$11,0)*Paramètres!$C$12+MAX(MIN(Paramètres!$B$13,(O13+P13+AQ13+MAX(Q13,0)+R13)/U13)-Paramètres!$B$12,0)*Paramètres!$C$13)*U13</f>
        <v>31186.12872194517</v>
      </c>
      <c r="AU13" s="108">
        <f>MAX(AS13,AT13-Paramètres!$E$13*(T13-U13)*2)+MAX(P13+AQ13,0)*Paramètres!$E$9+MAX(Q13,0)*Paramètres!$E$9+MAX(R13*Paramètres!$E$12,Paramètres!$E$11)</f>
        <v>33469.178278375213</v>
      </c>
      <c r="AV13" s="150">
        <f t="shared" si="2"/>
        <v>3850.842103734205</v>
      </c>
      <c r="AW13" s="108">
        <f t="shared" si="3"/>
        <v>8828.4844208399991</v>
      </c>
      <c r="AX13" s="108">
        <f>(MAX(MIN(Paramètres!$B$9,(O13+MAX(P13+AW13,0)+MAX(Q13,0)+R13)/T13),0)*Paramètres!$C$9+MAX(MIN(Paramètres!$B$10,(O13+MAX(P13+AW13,0)+MAX(Q13,0)+R13)/T13)-Paramètres!$B$9,0)*Paramètres!$C$10+MAX(MIN(Paramètres!$B$11,(O13+MAX(P13+AW13,0)+MAX(Q13,0)+R13)/T13)-Paramètres!$B$10,0)*Paramètres!$C$11+MAX(MIN(Paramètres!$B$12,(O13+MAX(P13+AW13,0)+MAX(Q13,0)+R13)/T13)-Paramètres!$B$11,0)*Paramètres!$C$12+MAX(MIN(Paramètres!$B$13,(O13+MAX(P13+AW13,0)+MAX(Q13,0)+R13)/T13)-Paramètres!$B$12,0)*Paramètres!$C$13)*T13</f>
        <v>32093.014787185406</v>
      </c>
      <c r="AY13" s="108">
        <f>(MAX(MIN(Paramètres!$B$9,(O13+MAX(P13+AW13,0)+MAX(Q13,0)+R13)/U13),0)*Paramètres!$C$9+MAX(MIN(Paramètres!$B$10,(O13+MAX(P13+AW13,0)+MAX(Q13,0)+R13)/U13)-Paramètres!$B$9,0)*Paramètres!$C$10+MAX(MIN(Paramètres!$B$11,(O13+MAX(P13+AW13,0)+MAX(Q13,0)+R13)/U13)-Paramètres!$B$10,0)*Paramètres!$C$11+MAX(MIN(Paramètres!$B$12,(O13+MAX(P13+AW13,0)+MAX(Q13,0)+R13)/U13)-Paramètres!$B$11,0)*Paramètres!$C$12+MAX(MIN(Paramètres!$B$13,(O13+MAX(P13+AW13,0)+MAX(Q13,0)+R13)/U13)-Paramètres!$B$12,0)*Paramètres!$C$13)*U13</f>
        <v>32093.014787185406</v>
      </c>
      <c r="AZ13" s="108">
        <f>MAX(AX13,AY13-Paramètres!$E$13*(T13-U13)*2)+MAX(P13+AW13,0)*Paramètres!$E$9+MAX(Q13,0)*Paramètres!$E$9+MAX(R13*Paramètres!$E$12,Paramètres!$E$11)</f>
        <v>34756.514107569885</v>
      </c>
      <c r="BA13" s="108">
        <f t="shared" si="4"/>
        <v>5138.1779329288765</v>
      </c>
      <c r="BB13" s="149">
        <f>MAX(MAX(C13-D13,0)-SUM(E13:H13),-MIN(SUM(O13:R13),Paramètres!$E$19+MAX(P13,0)))</f>
        <v>6616.5671885467491</v>
      </c>
      <c r="BC13" s="108">
        <f t="shared" si="20"/>
        <v>0</v>
      </c>
      <c r="BD13" s="108">
        <f>MIN(SUM($BC$8:BC13)-SUM($BF$8:BF12),0)</f>
        <v>-1.8189894035458565E-12</v>
      </c>
      <c r="BE13" s="108">
        <f t="shared" si="11"/>
        <v>6616.5671885467473</v>
      </c>
      <c r="BF13" s="108">
        <f t="shared" si="12"/>
        <v>0</v>
      </c>
      <c r="BG13" s="108">
        <f>(MAX(MIN(Paramètres!$B$9,(O13+P13+BE13+MAX(Q13,0)+R13)/T13),0)*Paramètres!$C$9+MAX(MIN(Paramètres!$B$10,(O13+P13+BE13+MAX(Q13,0)+R13)/T13)-Paramètres!$B$9,0)*Paramètres!$C$10+MAX(MIN(Paramètres!$B$11,(O13+P13+BE13+MAX(Q13,0)+R13)/T13)-Paramètres!$B$10,0)*Paramètres!$C$11+MAX(MIN(Paramètres!$B$12,(O13+P13+BE13+MAX(Q13,0)+R13)/T13)-Paramètres!$B$11,0)*Paramètres!$C$12+MAX(MIN(Paramètres!$B$13,(O13+P13+BE13+MAX(Q13,0)+R13)/T13)-Paramètres!$B$12,0)*Paramètres!$C$13)*T13</f>
        <v>31186.12872194517</v>
      </c>
      <c r="BH13" s="108">
        <f>(MAX(MIN(Paramètres!$B$9,(O13+P13+BE13+MAX(Q13,0)+R13)/U13),0)*Paramètres!$C$9+MAX(MIN(Paramètres!$B$10,(O13+P13+BE13+MAX(Q13,0)+R13)/U13)-Paramètres!$B$9,0)*Paramètres!$C$10+MAX(MIN(Paramètres!$B$11,(O13+P13+BE13+MAX(Q13,0)+R13)/U13)-Paramètres!$B$10,0)*Paramètres!$C$11+MAX(MIN(Paramètres!$B$12,(O13+P13+BE13+MAX(Q13,0)+R13)/U13)-Paramètres!$B$11,0)*Paramètres!$C$12+MAX(MIN(Paramètres!$B$13,(O13+P13+BE13+MAX(Q13,0)+R13)/U13)-Paramètres!$B$12,0)*Paramètres!$C$13)*U13</f>
        <v>31186.12872194517</v>
      </c>
      <c r="BI13" s="108">
        <f>MAX(BG13,BH13-Paramètres!$E$13*(T13-U13)*2)+MAX(P13+BE13,0)*Paramètres!$E$9+MAX(Q13,0)*Paramètres!$E$9+MAX(R13*Paramètres!$E$12,Paramètres!$E$11)</f>
        <v>33469.178278375213</v>
      </c>
      <c r="BJ13" s="150">
        <f>MAX(BI13-IFERROR(VLOOKUP(B13,Paramètres!$B$28:$C$39,2,FALSE),0)*MIN(MIN((Simulation!$C$7+Simulation!$C$12+Simulation!$C$8+Simulation!$C$10)/Simulation!$C$28,Paramètres!$C$26)*Simulation!$C$28,Paramètres!$C$25),0)-X13</f>
        <v>816.34210373420501</v>
      </c>
      <c r="BK13" s="108">
        <f t="shared" si="13"/>
        <v>8828.4844208399991</v>
      </c>
      <c r="BL13" s="108">
        <f>(MAX(MIN(Paramètres!$B$9,(O13+MAX(P13+BK13,0)+MAX(Q13,0)+R13)/T13),0)*Paramètres!$C$9+MAX(MIN(Paramètres!$B$10,(O13+MAX(P13+BK13,0)+MAX(Q13,0)+R13)/T13)-Paramètres!$B$9,0)*Paramètres!$C$10+MAX(MIN(Paramètres!$B$11,(O13+MAX(P13+BK13,0)+MAX(Q13,0)+R13)/T13)-Paramètres!$B$10,0)*Paramètres!$C$11+MAX(MIN(Paramètres!$B$12,(O13+MAX(P13+BK13,0)+MAX(Q13,0)+R13)/T13)-Paramètres!$B$11,0)*Paramètres!$C$12+MAX(MIN(Paramètres!$B$13,(O13+MAX(P13+BK13,0)+MAX(Q13,0)+R13)/T13)-Paramètres!$B$12,0)*Paramètres!$C$13)*T13</f>
        <v>32093.014787185406</v>
      </c>
      <c r="BM13" s="108">
        <f>(MAX(MIN(Paramètres!$B$9,(O13+MAX(P13+BK13,0)+MAX(Q13,0)+R13)/U13),0)*Paramètres!$C$9+MAX(MIN(Paramètres!$B$10,(O13+MAX(P13+BK13,0)+MAX(Q13,0)+R13)/U13)-Paramètres!$B$9,0)*Paramètres!$C$10+MAX(MIN(Paramètres!$B$11,(O13+MAX(P13+BK13,0)+MAX(Q13,0)+R13)/U13)-Paramètres!$B$10,0)*Paramètres!$C$11+MAX(MIN(Paramètres!$B$12,(O13+MAX(P13+BK13,0)+MAX(Q13,0)+R13)/U13)-Paramètres!$B$11,0)*Paramètres!$C$12+MAX(MIN(Paramètres!$B$13,(O13+MAX(P13+BK13,0)+MAX(Q13,0)+R13)/U13)-Paramètres!$B$12,0)*Paramètres!$C$13)*U13</f>
        <v>32093.014787185406</v>
      </c>
      <c r="BN13" s="108">
        <f>MAX(BL13,BM13-Paramètres!$E$13*(T13-U13)*2)+MAX(P13+BK13,0)*Paramètres!$E$9+MAX(Q13,0)*Paramètres!$E$9+MAX(R13*Paramètres!$E$12,Paramètres!$E$11)</f>
        <v>34756.514107569885</v>
      </c>
      <c r="BO13" s="108">
        <f>MAX(BN13-IFERROR(VLOOKUP(B13,Paramètres!$B$28:$C$39,2,FALSE),0)*MIN(MIN((Simulation!$C$7+Simulation!$C$12+Simulation!$C$8+Simulation!$C$10)/Simulation!$C$28,Paramètres!$C$26)*Simulation!$C$28,Paramètres!$C$25),0)-X13</f>
        <v>2103.6779329288765</v>
      </c>
      <c r="BP13" s="126">
        <f t="shared" si="14"/>
        <v>1768.56718854675</v>
      </c>
      <c r="BQ13" s="108">
        <f t="shared" si="15"/>
        <v>0</v>
      </c>
      <c r="BR13" s="108">
        <f>MIN(SUM($BQ$8:BQ13)-SUM($BT$8:BT12),0)</f>
        <v>-2548.0000000000027</v>
      </c>
      <c r="BS13" s="108">
        <f t="shared" si="19"/>
        <v>0</v>
      </c>
      <c r="BT13" s="108">
        <f t="shared" si="16"/>
        <v>-1768.56718854675</v>
      </c>
      <c r="BU13" s="108">
        <f>(MAX(MIN(Paramètres!$B$9,(O13+MAX(P13,0)+MAX(Q13,0)+R13+BS13)/T13),0)*Paramètres!$C$9+MAX(MIN(Paramètres!$B$10,(O13+MAX(P13,0)+MAX(Q13,0)+R13+BS13)/T13)-Paramètres!$B$9,0)*Paramètres!$C$10+MAX(MIN(Paramètres!$B$11,(O13+MAX(P13,0)+MAX(Q13,0)+R13+BS13)/T13)-Paramètres!$B$10,0)*Paramètres!$C$11+MAX(MIN(Paramètres!$B$12,(O13+MAX(P13,0)+MAX(Q13,0)+R13+BS13)/T13)-Paramètres!$B$11,0)*Paramètres!$C$12+MAX(MIN(Paramètres!$B$13,(O13+MAX(P13,0)+MAX(Q13,0)+R13+BS13)/T13)-Paramètres!$B$12,0)*Paramètres!$C$13)*T13</f>
        <v>28473.336174641008</v>
      </c>
      <c r="BV13" s="108">
        <f>(MAX(MIN(Paramètres!$B$9,(O13+MAX(P13,0)+MAX(Q13,0)+R13+BS13)/U13),0)*Paramètres!$C$9+MAX(MIN(Paramètres!$B$10,(O13+MAX(P13,0)+MAX(Q13,0)+R13+BS13)/U13)-Paramètres!$B$9,0)*Paramètres!$C$10+MAX(MIN(Paramètres!$B$11,(O13+MAX(P13,0)+MAX(Q13,0)+R13+BS13)/U13)-Paramètres!$B$10,0)*Paramètres!$C$11+MAX(MIN(Paramètres!$B$12,(O13+MAX(P13,0)+MAX(Q13,0)+R13+BS13)/U13)-Paramètres!$B$11,0)*Paramètres!$C$12+MAX(MIN(Paramètres!$B$13,(O13+MAX(P13,0)+MAX(Q13,0)+R13+BS13)/U13)-Paramètres!$B$12,0)*Paramètres!$C$13)*U13</f>
        <v>28473.336174641008</v>
      </c>
      <c r="BW13" s="108">
        <f>MAX(BU13,BV13-Paramètres!$E$13*(T13-U13)*2)+MAX(P13,0)*Paramètres!$E$9+MAX(Q13,0)*Paramètres!$E$9+MAX((R13+BS13)*Paramètres!$E$12,Paramètres!$E$11)</f>
        <v>29618.336174641008</v>
      </c>
      <c r="BX13" s="108">
        <f t="shared" si="17"/>
        <v>0</v>
      </c>
      <c r="BY13" s="149">
        <f>(C13-SUM(D13:N13)+MIN(BY12,0))*(B13&lt;=Simulation!$F$24)</f>
        <v>-18704.840701563575</v>
      </c>
      <c r="BZ13" s="108">
        <f>(Simulation!$F$22-(Simulation!$C$13-SUM($I$8:$N$37)))*(B13=Simulation!$F$24)</f>
        <v>0</v>
      </c>
      <c r="CA13" s="108">
        <f>MAX(MIN(BY13+BZ13,Paramètres!$B$17)*Paramètres!$C$17+MAX(MIN(BY13+BZ13,Paramètres!$B$18)-Paramètres!$B$17,0)*Paramètres!$C$18+MAX(MIN(BY13+BZ13,Paramètres!$B$19)-Paramètres!$B$18,0)*Paramètres!$C$19,0)</f>
        <v>0</v>
      </c>
      <c r="CB13" s="150">
        <f>MAX(MIN(BY13,Paramètres!$B$17)*Paramètres!$C$17+MAX(MIN(BY13,Paramètres!$B$18)-Paramètres!$B$17,0)*Paramètres!$C$18+MAX(MIN(BY13,Paramètres!$B$19)-Paramètres!$B$18,0)*Paramètres!$C$19,0)</f>
        <v>0</v>
      </c>
      <c r="CC13" s="108">
        <f>(C13-SUM(D13:N13)+MIN(CC12,0))*(B13&lt;=Simulation!$F$24)</f>
        <v>-18704.840701563575</v>
      </c>
      <c r="CD13" s="108">
        <f>(Simulation!$F$22-(Simulation!$C$13-SUM($I$8:$N$37)))*(B13=Simulation!$F$24)</f>
        <v>0</v>
      </c>
      <c r="CE13" s="108">
        <f>MAX(MIN(CC13+CD13,Paramètres!$B$17)*Paramètres!$C$17+MAX(MIN(CC13+CD13,Paramètres!$B$18)-Paramètres!$B$17,0)*Paramètres!$C$18+MAX(MIN(CC13+CD13,Paramètres!$B$19)-Paramètres!$B$18,0)*Paramètres!$C$19,0)</f>
        <v>0</v>
      </c>
      <c r="CF13" s="108">
        <f>MAX(MIN(CC13,Paramètres!$B$17)*Paramètres!$C$17+MAX(MIN(CC13,Paramètres!$B$18)-Paramètres!$B$17,0)*Paramètres!$C$18+MAX(MIN(CC13,Paramètres!$B$19)-Paramètres!$B$18,0)*Paramètres!$C$19,0)</f>
        <v>0</v>
      </c>
      <c r="CG13" s="108">
        <f>MAX(CC13+CD13-CF13,0)*(1-Paramètres!$E$17)*Paramètres!$E$18</f>
        <v>0</v>
      </c>
      <c r="CH13" s="54">
        <f>MAX(CC13-CF13,0)*(1-Paramètres!$E$17)*Paramètres!$E$18</f>
        <v>0</v>
      </c>
      <c r="CI13" s="127">
        <f ca="1">OFFSET($AC13,0,VLOOKUP(Simulation!$C$27,Simulation!$Q$5:$R$14,2,FALSE))</f>
        <v>0</v>
      </c>
      <c r="CK13" s="167"/>
      <c r="CL13" s="167"/>
      <c r="CM13" s="167"/>
      <c r="CN13" s="167"/>
      <c r="CO13" s="167"/>
      <c r="CP13" s="167"/>
      <c r="CQ13" s="167"/>
      <c r="CR13" s="167"/>
      <c r="CS13" s="167"/>
      <c r="CT13" s="167"/>
      <c r="CU13" s="167"/>
      <c r="CV13" s="167"/>
    </row>
    <row r="14" spans="2:100" x14ac:dyDescent="0.2">
      <c r="B14" s="40">
        <f t="shared" si="0"/>
        <v>7</v>
      </c>
      <c r="C14" s="143">
        <f>SUMPRODUCT('Détail trésorerie'!$H$8:$H$367*('Détail trésorerie'!$B$8:$B$367&gt;$B13*12)*('Détail trésorerie'!$B$8:$B$367&lt;=$B14*12))</f>
        <v>12738.241807212</v>
      </c>
      <c r="D14" s="143">
        <f>SUMPRODUCT('Détail trésorerie'!$E$8:$E$367*('Détail trésorerie'!$B$8:$B$367&gt;$B13*12)*('Détail trésorerie'!$B$8:$B$367&lt;=$B14*12))</f>
        <v>1897.8127968488311</v>
      </c>
      <c r="E14" s="144">
        <f>SUMPRODUCT('Détail trésorerie'!$J$8:$J$367*('Détail trésorerie'!$B$8:$B$367&gt;$B13*12)*('Détail trésorerie'!$B$8:$B$367&lt;=$B14*12))</f>
        <v>1592.2802259015</v>
      </c>
      <c r="F14" s="144">
        <f>SUMPRODUCT('Détail trésorerie'!$K$8:$K$367*('Détail trésorerie'!$B$8:$B$367&gt;$B13*12)*('Détail trésorerie'!$B$8:$B$367&lt;=$B14*12))</f>
        <v>1316.2849867452405</v>
      </c>
      <c r="G14" s="144">
        <f>SUMPRODUCT('Détail trésorerie'!$L$8:$L$367*('Détail trésorerie'!$B$8:$B$367&gt;$B13*12)*('Détail trésorerie'!$B$8:$B$367&lt;=$B14*12))</f>
        <v>636.91209036060002</v>
      </c>
      <c r="H14" s="145">
        <f>SUMPRODUCT('Détail trésorerie'!$M$8:$M$367*('Détail trésorerie'!$B$8:$B$367&gt;$B13*12)*('Détail trésorerie'!$B$8:$B$367&lt;=$B14*12))</f>
        <v>462.95201506010011</v>
      </c>
      <c r="I14" s="126">
        <f>MAX(MIN(Paramètres!$E$3*Simulation!$C$7*Paramètres!$C$3,Simulation!$C$7*Paramètres!$E$3-SUM(I$8:$I13)),0)*(B14&lt;=Simulation!$F$24)</f>
        <v>0</v>
      </c>
      <c r="J14" s="108">
        <f>MAX(MIN(Paramètres!$E$4*Simulation!$C$7*Paramètres!$C$4,Simulation!$C$7*Paramètres!$E$4-SUM($J$8:J13)),0)*(B14&lt;=Simulation!$F$24)</f>
        <v>2700</v>
      </c>
      <c r="K14" s="108">
        <f>MAX(MIN(Paramètres!$E$5*Simulation!$C$8*Paramètres!$C$5,Paramètres!$E$5*Simulation!$C$8-SUM($K$8:K13)),0)*(B14&lt;=Simulation!$F$24)</f>
        <v>2148</v>
      </c>
      <c r="L14" s="108">
        <v>0</v>
      </c>
      <c r="M14" s="108">
        <v>0</v>
      </c>
      <c r="N14" s="108">
        <f>MAX(MIN(Paramètres!$C$6*(Simulation!$C$10+Simulation!$C$11+Simulation!$C$12),(Simulation!$C$10+Simulation!$C$11+Simulation!$C$12)-SUM(N$8:N13)),0)*(B14&lt;=Simulation!$F$24)</f>
        <v>0</v>
      </c>
      <c r="O14" s="148">
        <f>25000*8/2*(1+Emprunteur!$F$7)^$B14</f>
        <v>107213.53521070098</v>
      </c>
      <c r="P14" s="165">
        <f>0*(1+Emprunteur!$F$8)^$B14</f>
        <v>0</v>
      </c>
      <c r="Q14" s="165">
        <f>0*(1+Emprunteur!$F$9)^$B14</f>
        <v>0</v>
      </c>
      <c r="R14" s="165">
        <f>0*(1+Emprunteur!$F$10)^$B14</f>
        <v>0</v>
      </c>
      <c r="S14" s="108">
        <f t="shared" si="5"/>
        <v>107213.53521070098</v>
      </c>
      <c r="T14" s="157">
        <v>1</v>
      </c>
      <c r="U14" s="157">
        <v>1</v>
      </c>
      <c r="V14" s="108">
        <f>(MAX(MIN(Paramètres!$B$9,S14/T14),0)*Paramètres!$C$9+MAX(MIN(Paramètres!$B$10,S14/T14)-Paramètres!$B$9,0)*Paramètres!$C$10+MAX(MIN(Paramètres!$B$11,S14/T14)-Paramètres!$B$10,0)*Paramètres!$C$11+MAX(MIN(Paramètres!$B$12,S14/T14)-Paramètres!$B$11,0)*Paramètres!$C$12+MAX(MIN(Paramètres!$B$13,S14/T14)-Paramètres!$B$12,0)*Paramètres!$C$13)*T14</f>
        <v>28908.559436387401</v>
      </c>
      <c r="W14" s="108">
        <f>(MAX(MIN(Paramètres!$B$9,S14/U14),0)*Paramètres!$C$9+MAX(MIN(Paramètres!$B$10,S14/U14)-Paramètres!$B$9,0)*Paramètres!$C$10+MAX(MIN(Paramètres!$B$11,S14/U14)-Paramètres!$B$10,0)*Paramètres!$C$11+MAX(MIN(Paramètres!$B$12,S14/U14)-Paramètres!$B$11,0)*Paramètres!$C$12+MAX(MIN(Paramètres!$B$13,S14/U14)-Paramètres!$B$12,0)*Paramètres!$C$13)*U14</f>
        <v>28908.559436387401</v>
      </c>
      <c r="X14" s="108">
        <f>MAX(V14,W14-Paramètres!$E$13*(T14-U14)*2)+MAX(P14,0)*Paramètres!$E$9+MAX(Q14,0)*Paramètres!$E$9+MAX(R14*Paramètres!$E$12,Paramètres!$E$11)</f>
        <v>30053.559436387401</v>
      </c>
      <c r="Y14" s="126">
        <f>(C14-SUM(D14:N14)+MIN(Y13,0))*(B14&lt;=Simulation!$F$24)</f>
        <v>-16720.841009267846</v>
      </c>
      <c r="Z14" s="108">
        <f>(MAX(MIN(Paramètres!$B$9,(O14+MAX(P14,0)+MAX(Q14+Y14,0)+R14)/T14),0)*Paramètres!$C$9+MAX(MIN(Paramètres!$B$10,(O14+MAX(P14,0)+MAX(Q14+Y14,0)+R14)/T14)-Paramètres!$B$9,0)*Paramètres!$C$10+MAX(MIN(Paramètres!$B$11,(O14+MAX(P14,0)+MAX(Q14+Y14,0)+R14)/T14)-Paramètres!$B$10,0)*Paramètres!$C$11+MAX(MIN(Paramètres!$B$12,(O14+MAX(P14,0)+MAX(Q14+Y14,0)+R14)/T14)-Paramètres!$B$11,0)*Paramètres!$C$12+MAX(MIN(Paramètres!$B$13,(O14+MAX(P14,0)+MAX(Q14+Y14,0)+R14)/T14)-Paramètres!$B$12,0)*Paramètres!$C$13)*T14</f>
        <v>28908.559436387401</v>
      </c>
      <c r="AA14" s="108">
        <f>(MAX(MIN(Paramètres!$B$9,(O14+MAX(P14,0)+MAX(Q14+Y14,0)+R14)/U14),0)*Paramètres!$C$9+MAX(MIN(Paramètres!$B$10,(O14+MAX(P14,0)+MAX(Q14+Y14,0)+R14)/U14)-Paramètres!$B$9,0)*Paramètres!$C$10+MAX(MIN(Paramètres!$B$11,(O14+MAX(P14,0)+MAX(Q14+Y14,0)+R14)/U14)-Paramètres!$B$10,0)*Paramètres!$C$11+MAX(MIN(Paramètres!$B$12,(O14+MAX(P14,0)+MAX(Q14+Y14,0)+R14)/U14)-Paramètres!$B$11,0)*Paramètres!$C$12+MAX(MIN(Paramètres!$B$13,(O14+MAX(P14,0)+MAX(Q14+Y14,0)+R14)/U14)-Paramètres!$B$12,0)*Paramètres!$C$13)*U14</f>
        <v>28908.559436387401</v>
      </c>
      <c r="AB14" s="108">
        <f>MAX(Z14,AA14-Paramètres!$E$13*(T14-U14)*2)+MAX(P14,0)*Paramètres!$E$9+MAX(Q14+Y14,0)*Paramètres!$E$9+MAX(R14*Paramètres!$E$12,Paramètres!$E$11)</f>
        <v>30053.559436387401</v>
      </c>
      <c r="AC14" s="108">
        <f t="shared" si="6"/>
        <v>0</v>
      </c>
      <c r="AD14" s="149">
        <f t="shared" si="1"/>
        <v>6369.120903606</v>
      </c>
      <c r="AE14" s="108">
        <f>(MAX(MIN(Paramètres!$B$9,(O14+MAX(P14,0)+MAX(Q14+AD14,0)+R14)/T14),0)*Paramètres!$C$9+MAX(MIN(Paramètres!$B$10,(O14+MAX(P14,0)+MAX(Q14+AD14,0)+R14)/T14)-Paramètres!$B$9,0)*Paramètres!$C$10+MAX(MIN(Paramètres!$B$11,(O14+MAX(P14,0)+MAX(Q14+AD14,0)+R14)/T14)-Paramètres!$B$10,0)*Paramètres!$C$11+MAX(MIN(Paramètres!$B$12,(O14+MAX(P14,0)+MAX(Q14+AD14,0)+R14)/T14)-Paramètres!$B$11,0)*Paramètres!$C$12+MAX(MIN(Paramètres!$B$13,(O14+MAX(P14,0)+MAX(Q14+AD14,0)+R14)/T14)-Paramètres!$B$12,0)*Paramètres!$C$13)*T14</f>
        <v>31519.89900686586</v>
      </c>
      <c r="AF14" s="108">
        <f>(MAX(MIN(Paramètres!$B$9,(O14+MAX(P14,0)+MAX(Q14+AD14,0)+R14)/U14),0)*Paramètres!$C$9+MAX(MIN(Paramètres!$B$10,(O14+MAX(P14,0)+MAX(Q14+AD14,0)+R14)/U14)-Paramètres!$B$9,0)*Paramètres!$C$10+MAX(MIN(Paramètres!$B$11,(O14+MAX(P14,0)+MAX(Q14+AD14,0)+R14)/U14)-Paramètres!$B$10,0)*Paramètres!$C$11+MAX(MIN(Paramètres!$B$12,(O14+MAX(P14,0)+MAX(Q14+AD14,0)+R14)/U14)-Paramètres!$B$11,0)*Paramètres!$C$12+MAX(MIN(Paramètres!$B$13,(O14+MAX(P14,0)+MAX(Q14+AD14,0)+R14)/U14)-Paramètres!$B$12,0)*Paramètres!$C$13)*U14</f>
        <v>31519.89900686586</v>
      </c>
      <c r="AG14" s="108">
        <f>MAX(AE14,AF14-Paramètres!$E$13*(T14-U14)*2)+MAX(P14,0)*Paramètres!$E$9+MAX(Q14+AD14,0)*Paramètres!$E$9+MAX(R14*Paramètres!$E$12,Paramètres!$E$11)</f>
        <v>33760.387802286088</v>
      </c>
      <c r="AH14" s="150">
        <f t="shared" si="7"/>
        <v>3706.8283658986875</v>
      </c>
      <c r="AI14" s="149">
        <f t="shared" si="8"/>
        <v>6369.120903606</v>
      </c>
      <c r="AJ14" s="108">
        <f>(MAX(MIN(Paramètres!$B$9,(O14+MAX(P14,0)+MAX(Q14+AI14,0)+R14)/T14),0)*Paramètres!$C$9+MAX(MIN(Paramètres!$B$10,(O14+MAX(P14,0)+MAX(Q14+AI14,0)+R14)/T14)-Paramètres!$B$9,0)*Paramètres!$C$10+MAX(MIN(Paramètres!$B$11,(O14+MAX(P14,0)+MAX(Q14+AI14,0)+R14)/T14)-Paramètres!$B$10,0)*Paramètres!$C$11+MAX(MIN(Paramètres!$B$12,(O14+MAX(P14,0)+MAX(Q14+AI14,0)+R14)/T14)-Paramètres!$B$11,0)*Paramètres!$C$12+MAX(MIN(Paramètres!$B$13,(O14+MAX(P14,0)+MAX(Q14+AI14,0)+R14)/T14)-Paramètres!$B$12,0)*Paramètres!$C$13)*T14</f>
        <v>31519.89900686586</v>
      </c>
      <c r="AK14" s="108">
        <f>(MAX(MIN(Paramètres!$B$9,(O14+MAX(P14,0)+MAX(Q14+AI14,0)+R14)/U14),0)*Paramètres!$C$9+MAX(MIN(Paramètres!$B$10,(O14+MAX(P14,0)+MAX(Q14+AI14,0)+R14)/U14)-Paramètres!$B$9,0)*Paramètres!$C$10+MAX(MIN(Paramètres!$B$11,(O14+MAX(P14,0)+MAX(Q14+AI14,0)+R14)/U14)-Paramètres!$B$10,0)*Paramètres!$C$11+MAX(MIN(Paramètres!$B$12,(O14+MAX(P14,0)+MAX(Q14+AI14,0)+R14)/U14)-Paramètres!$B$11,0)*Paramètres!$C$12+MAX(MIN(Paramètres!$B$13,(O14+MAX(P14,0)+MAX(Q14+AI14,0)+R14)/U14)-Paramètres!$B$12,0)*Paramètres!$C$13)*U14</f>
        <v>31519.89900686586</v>
      </c>
      <c r="AL14" s="108">
        <f>MAX(AJ14,AK14-Paramètres!$E$13*(T14-U14)*2)+MAX(P14,0)*Paramètres!$E$9+MAX(Q14+AI14,0)*Paramètres!$E$9+MAX(R14*Paramètres!$E$12,Paramètres!$E$11)</f>
        <v>33760.387802286088</v>
      </c>
      <c r="AM14" s="150">
        <f>MAX(AL14-11%/9*Simulation!$C$7*(B14&lt;=9),0)-X14</f>
        <v>2240.1616992320196</v>
      </c>
      <c r="AN14" s="149">
        <f>MAX(MAX(C14-D14,0)-SUM(E14:H14),-MIN(SUM(O14:R14),Paramètres!$E$19+MAX(P14,0)))</f>
        <v>6831.999692295728</v>
      </c>
      <c r="AO14" s="108">
        <f t="shared" si="18"/>
        <v>0</v>
      </c>
      <c r="AP14" s="108">
        <f>MIN(SUM($AO$8:AO14)-SUM($AR$8:AR13),0)</f>
        <v>0</v>
      </c>
      <c r="AQ14" s="108">
        <f t="shared" si="9"/>
        <v>6831.999692295728</v>
      </c>
      <c r="AR14" s="108">
        <f t="shared" si="10"/>
        <v>0</v>
      </c>
      <c r="AS14" s="108">
        <f>(MAX(MIN(Paramètres!$B$9,(O14+P14+AQ14+MAX(Q14,0)+R14)/T14),0)*Paramètres!$C$9+MAX(MIN(Paramètres!$B$10,(O14+P14+AQ14+MAX(Q14,0)+R14)/T14)-Paramètres!$B$9,0)*Paramètres!$C$10+MAX(MIN(Paramètres!$B$11,(O14+P14+AQ14+MAX(Q14,0)+R14)/T14)-Paramètres!$B$10,0)*Paramètres!$C$11+MAX(MIN(Paramètres!$B$12,(O14+P14+AQ14+MAX(Q14,0)+R14)/T14)-Paramètres!$B$11,0)*Paramètres!$C$12+MAX(MIN(Paramètres!$B$13,(O14+P14+AQ14+MAX(Q14,0)+R14)/T14)-Paramètres!$B$12,0)*Paramètres!$C$13)*T14</f>
        <v>31709.679310228647</v>
      </c>
      <c r="AT14" s="108">
        <f>(MAX(MIN(Paramètres!$B$9,(O14+P14+AQ14+MAX(Q14,0)+R14)/U14),0)*Paramètres!$C$9+MAX(MIN(Paramètres!$B$10,(O14+P14+AQ14+MAX(Q14,0)+R14)/U14)-Paramètres!$B$9,0)*Paramètres!$C$10+MAX(MIN(Paramètres!$B$11,(O14+P14+AQ14+MAX(Q14,0)+R14)/U14)-Paramètres!$B$10,0)*Paramètres!$C$11+MAX(MIN(Paramètres!$B$12,(O14+P14+AQ14+MAX(Q14,0)+R14)/U14)-Paramètres!$B$11,0)*Paramètres!$C$12+MAX(MIN(Paramètres!$B$13,(O14+P14+AQ14+MAX(Q14,0)+R14)/U14)-Paramètres!$B$12,0)*Paramètres!$C$13)*U14</f>
        <v>31709.679310228647</v>
      </c>
      <c r="AU14" s="108">
        <f>MAX(AS14,AT14-Paramètres!$E$13*(T14-U14)*2)+MAX(P14+AQ14,0)*Paramètres!$E$9+MAX(Q14,0)*Paramètres!$E$9+MAX(R14*Paramètres!$E$12,Paramètres!$E$11)</f>
        <v>34029.783257303512</v>
      </c>
      <c r="AV14" s="150">
        <f t="shared" si="2"/>
        <v>3976.2238209161114</v>
      </c>
      <c r="AW14" s="108">
        <f t="shared" si="3"/>
        <v>8916.7692650483987</v>
      </c>
      <c r="AX14" s="108">
        <f>(MAX(MIN(Paramètres!$B$9,(O14+MAX(P14+AW14,0)+MAX(Q14,0)+R14)/T14),0)*Paramètres!$C$9+MAX(MIN(Paramètres!$B$10,(O14+MAX(P14+AW14,0)+MAX(Q14,0)+R14)/T14)-Paramètres!$B$9,0)*Paramètres!$C$10+MAX(MIN(Paramètres!$B$11,(O14+MAX(P14+AW14,0)+MAX(Q14,0)+R14)/T14)-Paramètres!$B$10,0)*Paramètres!$C$11+MAX(MIN(Paramètres!$B$12,(O14+MAX(P14+AW14,0)+MAX(Q14,0)+R14)/T14)-Paramètres!$B$11,0)*Paramètres!$C$12+MAX(MIN(Paramètres!$B$13,(O14+MAX(P14+AW14,0)+MAX(Q14,0)+R14)/T14)-Paramètres!$B$12,0)*Paramètres!$C$13)*T14</f>
        <v>32564.434835057244</v>
      </c>
      <c r="AY14" s="108">
        <f>(MAX(MIN(Paramètres!$B$9,(O14+MAX(P14+AW14,0)+MAX(Q14,0)+R14)/U14),0)*Paramètres!$C$9+MAX(MIN(Paramètres!$B$10,(O14+MAX(P14+AW14,0)+MAX(Q14,0)+R14)/U14)-Paramètres!$B$9,0)*Paramètres!$C$10+MAX(MIN(Paramètres!$B$11,(O14+MAX(P14+AW14,0)+MAX(Q14,0)+R14)/U14)-Paramètres!$B$10,0)*Paramètres!$C$11+MAX(MIN(Paramètres!$B$12,(O14+MAX(P14+AW14,0)+MAX(Q14,0)+R14)/U14)-Paramètres!$B$11,0)*Paramètres!$C$12+MAX(MIN(Paramètres!$B$13,(O14+MAX(P14+AW14,0)+MAX(Q14,0)+R14)/U14)-Paramètres!$B$12,0)*Paramètres!$C$13)*U14</f>
        <v>32564.434835057244</v>
      </c>
      <c r="AZ14" s="108">
        <f>MAX(AX14,AY14-Paramètres!$E$13*(T14-U14)*2)+MAX(P14+AW14,0)*Paramètres!$E$9+MAX(Q14,0)*Paramètres!$E$9+MAX(R14*Paramètres!$E$12,Paramètres!$E$11)</f>
        <v>35243.119148645565</v>
      </c>
      <c r="BA14" s="108">
        <f t="shared" si="4"/>
        <v>5189.5597122581639</v>
      </c>
      <c r="BB14" s="149">
        <f>MAX(MAX(C14-D14,0)-SUM(E14:H14),-MIN(SUM(O14:R14),Paramètres!$E$19+MAX(P14,0)))</f>
        <v>6831.999692295728</v>
      </c>
      <c r="BC14" s="108">
        <f t="shared" si="20"/>
        <v>0</v>
      </c>
      <c r="BD14" s="108">
        <f>MIN(SUM($BC$8:BC14)-SUM($BF$8:BF13),0)</f>
        <v>-1.8189894035458565E-12</v>
      </c>
      <c r="BE14" s="108">
        <f t="shared" si="11"/>
        <v>6831.9996922957262</v>
      </c>
      <c r="BF14" s="108">
        <f t="shared" si="12"/>
        <v>0</v>
      </c>
      <c r="BG14" s="108">
        <f>(MAX(MIN(Paramètres!$B$9,(O14+P14+BE14+MAX(Q14,0)+R14)/T14),0)*Paramètres!$C$9+MAX(MIN(Paramètres!$B$10,(O14+P14+BE14+MAX(Q14,0)+R14)/T14)-Paramètres!$B$9,0)*Paramètres!$C$10+MAX(MIN(Paramètres!$B$11,(O14+P14+BE14+MAX(Q14,0)+R14)/T14)-Paramètres!$B$10,0)*Paramètres!$C$11+MAX(MIN(Paramètres!$B$12,(O14+P14+BE14+MAX(Q14,0)+R14)/T14)-Paramètres!$B$11,0)*Paramètres!$C$12+MAX(MIN(Paramètres!$B$13,(O14+P14+BE14+MAX(Q14,0)+R14)/T14)-Paramètres!$B$12,0)*Paramètres!$C$13)*T14</f>
        <v>31709.679310228647</v>
      </c>
      <c r="BH14" s="108">
        <f>(MAX(MIN(Paramètres!$B$9,(O14+P14+BE14+MAX(Q14,0)+R14)/U14),0)*Paramètres!$C$9+MAX(MIN(Paramètres!$B$10,(O14+P14+BE14+MAX(Q14,0)+R14)/U14)-Paramètres!$B$9,0)*Paramètres!$C$10+MAX(MIN(Paramètres!$B$11,(O14+P14+BE14+MAX(Q14,0)+R14)/U14)-Paramètres!$B$10,0)*Paramètres!$C$11+MAX(MIN(Paramètres!$B$12,(O14+P14+BE14+MAX(Q14,0)+R14)/U14)-Paramètres!$B$11,0)*Paramètres!$C$12+MAX(MIN(Paramètres!$B$13,(O14+P14+BE14+MAX(Q14,0)+R14)/U14)-Paramètres!$B$12,0)*Paramètres!$C$13)*U14</f>
        <v>31709.679310228647</v>
      </c>
      <c r="BI14" s="108">
        <f>MAX(BG14,BH14-Paramètres!$E$13*(T14-U14)*2)+MAX(P14+BE14,0)*Paramètres!$E$9+MAX(Q14,0)*Paramètres!$E$9+MAX(R14*Paramètres!$E$12,Paramètres!$E$11)</f>
        <v>34029.783257303512</v>
      </c>
      <c r="BJ14" s="150">
        <f>MAX(BI14-IFERROR(VLOOKUP(B14,Paramètres!$B$28:$C$39,2,FALSE),0)*MIN(MIN((Simulation!$C$7+Simulation!$C$12+Simulation!$C$8+Simulation!$C$10)/Simulation!$C$28,Paramètres!$C$26)*Simulation!$C$28,Paramètres!$C$25),0)-X14</f>
        <v>1375.2238209161114</v>
      </c>
      <c r="BK14" s="108">
        <f t="shared" si="13"/>
        <v>8916.7692650483987</v>
      </c>
      <c r="BL14" s="108">
        <f>(MAX(MIN(Paramètres!$B$9,(O14+MAX(P14+BK14,0)+MAX(Q14,0)+R14)/T14),0)*Paramètres!$C$9+MAX(MIN(Paramètres!$B$10,(O14+MAX(P14+BK14,0)+MAX(Q14,0)+R14)/T14)-Paramètres!$B$9,0)*Paramètres!$C$10+MAX(MIN(Paramètres!$B$11,(O14+MAX(P14+BK14,0)+MAX(Q14,0)+R14)/T14)-Paramètres!$B$10,0)*Paramètres!$C$11+MAX(MIN(Paramètres!$B$12,(O14+MAX(P14+BK14,0)+MAX(Q14,0)+R14)/T14)-Paramètres!$B$11,0)*Paramètres!$C$12+MAX(MIN(Paramètres!$B$13,(O14+MAX(P14+BK14,0)+MAX(Q14,0)+R14)/T14)-Paramètres!$B$12,0)*Paramètres!$C$13)*T14</f>
        <v>32564.434835057244</v>
      </c>
      <c r="BM14" s="108">
        <f>(MAX(MIN(Paramètres!$B$9,(O14+MAX(P14+BK14,0)+MAX(Q14,0)+R14)/U14),0)*Paramètres!$C$9+MAX(MIN(Paramètres!$B$10,(O14+MAX(P14+BK14,0)+MAX(Q14,0)+R14)/U14)-Paramètres!$B$9,0)*Paramètres!$C$10+MAX(MIN(Paramètres!$B$11,(O14+MAX(P14+BK14,0)+MAX(Q14,0)+R14)/U14)-Paramètres!$B$10,0)*Paramètres!$C$11+MAX(MIN(Paramètres!$B$12,(O14+MAX(P14+BK14,0)+MAX(Q14,0)+R14)/U14)-Paramètres!$B$11,0)*Paramètres!$C$12+MAX(MIN(Paramètres!$B$13,(O14+MAX(P14+BK14,0)+MAX(Q14,0)+R14)/U14)-Paramètres!$B$12,0)*Paramètres!$C$13)*U14</f>
        <v>32564.434835057244</v>
      </c>
      <c r="BN14" s="108">
        <f>MAX(BL14,BM14-Paramètres!$E$13*(T14-U14)*2)+MAX(P14+BK14,0)*Paramètres!$E$9+MAX(Q14,0)*Paramètres!$E$9+MAX(R14*Paramètres!$E$12,Paramètres!$E$11)</f>
        <v>35243.119148645565</v>
      </c>
      <c r="BO14" s="108">
        <f>MAX(BN14-IFERROR(VLOOKUP(B14,Paramètres!$B$28:$C$39,2,FALSE),0)*MIN(MIN((Simulation!$C$7+Simulation!$C$12+Simulation!$C$8+Simulation!$C$10)/Simulation!$C$28,Paramètres!$C$26)*Simulation!$C$28,Paramètres!$C$25),0)-X14</f>
        <v>2588.5597122581639</v>
      </c>
      <c r="BP14" s="126">
        <f t="shared" si="14"/>
        <v>1983.999692295728</v>
      </c>
      <c r="BQ14" s="108">
        <f t="shared" si="15"/>
        <v>-9.0949470177292824E-13</v>
      </c>
      <c r="BR14" s="108">
        <f>MIN(SUM(BQ8:BQ14)-SUM(BT8:BT13),0)</f>
        <v>-779.43281145325363</v>
      </c>
      <c r="BS14" s="108">
        <f t="shared" si="19"/>
        <v>1204.5668808424743</v>
      </c>
      <c r="BT14" s="108">
        <f t="shared" si="16"/>
        <v>-779.43281145325363</v>
      </c>
      <c r="BU14" s="108">
        <f>(MAX(MIN(Paramètres!$B$9,(O14+MAX(P14,0)+MAX(Q14,0)+R14+BS14)/T14),0)*Paramètres!$C$9+MAX(MIN(Paramètres!$B$10,(O14+MAX(P14,0)+MAX(Q14,0)+R14+BS14)/T14)-Paramètres!$B$9,0)*Paramètres!$C$10+MAX(MIN(Paramètres!$B$11,(O14+MAX(P14,0)+MAX(Q14,0)+R14+BS14)/T14)-Paramètres!$B$10,0)*Paramètres!$C$11+MAX(MIN(Paramètres!$B$12,(O14+MAX(P14,0)+MAX(Q14,0)+R14+BS14)/T14)-Paramètres!$B$11,0)*Paramètres!$C$12+MAX(MIN(Paramètres!$B$13,(O14+MAX(P14,0)+MAX(Q14,0)+R14+BS14)/T14)-Paramètres!$B$12,0)*Paramètres!$C$13)*T14</f>
        <v>29402.431857532818</v>
      </c>
      <c r="BV14" s="108">
        <f>(MAX(MIN(Paramètres!$B$9,(O14+MAX(P14,0)+MAX(Q14,0)+R14+BS14)/U14),0)*Paramètres!$C$9+MAX(MIN(Paramètres!$B$10,(O14+MAX(P14,0)+MAX(Q14,0)+R14+BS14)/U14)-Paramètres!$B$9,0)*Paramètres!$C$10+MAX(MIN(Paramètres!$B$11,(O14+MAX(P14,0)+MAX(Q14,0)+R14+BS14)/U14)-Paramètres!$B$10,0)*Paramètres!$C$11+MAX(MIN(Paramètres!$B$12,(O14+MAX(P14,0)+MAX(Q14,0)+R14+BS14)/U14)-Paramètres!$B$11,0)*Paramètres!$C$12+MAX(MIN(Paramètres!$B$13,(O14+MAX(P14,0)+MAX(Q14,0)+R14+BS14)/U14)-Paramètres!$B$12,0)*Paramètres!$C$13)*U14</f>
        <v>29402.431857532818</v>
      </c>
      <c r="BW14" s="108">
        <f>MAX(BU14,BV14-Paramètres!$E$13*(T14-U14)*2)+MAX(P14,0)*Paramètres!$E$9+MAX(Q14,0)*Paramètres!$E$9+MAX((R14+BS14)*Paramètres!$E$12,Paramètres!$E$11)</f>
        <v>30547.431857532818</v>
      </c>
      <c r="BX14" s="108">
        <f t="shared" si="17"/>
        <v>493.87242114541732</v>
      </c>
      <c r="BY14" s="149">
        <f>(C14-SUM(D14:N14)+MIN(BY13,0))*(B14&lt;=Simulation!$F$24)</f>
        <v>-16720.841009267846</v>
      </c>
      <c r="BZ14" s="108">
        <f>(Simulation!$F$22-(Simulation!$C$13-SUM($I$8:$N$37)))*(B14=Simulation!$F$24)</f>
        <v>0</v>
      </c>
      <c r="CA14" s="108">
        <f>MAX(MIN(BY14+BZ14,Paramètres!$B$17)*Paramètres!$C$17+MAX(MIN(BY14+BZ14,Paramètres!$B$18)-Paramètres!$B$17,0)*Paramètres!$C$18+MAX(MIN(BY14+BZ14,Paramètres!$B$19)-Paramètres!$B$18,0)*Paramètres!$C$19,0)</f>
        <v>0</v>
      </c>
      <c r="CB14" s="150">
        <f>MAX(MIN(BY14,Paramètres!$B$17)*Paramètres!$C$17+MAX(MIN(BY14,Paramètres!$B$18)-Paramètres!$B$17,0)*Paramètres!$C$18+MAX(MIN(BY14,Paramètres!$B$19)-Paramètres!$B$18,0)*Paramètres!$C$19,0)</f>
        <v>0</v>
      </c>
      <c r="CC14" s="108">
        <f>(C14-SUM(D14:N14)+MIN(CC13,0))*(B14&lt;=Simulation!$F$24)</f>
        <v>-16720.841009267846</v>
      </c>
      <c r="CD14" s="108">
        <f>(Simulation!$F$22-(Simulation!$C$13-SUM($I$8:$N$37)))*(B14=Simulation!$F$24)</f>
        <v>0</v>
      </c>
      <c r="CE14" s="108">
        <f>MAX(MIN(CC14+CD14,Paramètres!$B$17)*Paramètres!$C$17+MAX(MIN(CC14+CD14,Paramètres!$B$18)-Paramètres!$B$17,0)*Paramètres!$C$18+MAX(MIN(CC14+CD14,Paramètres!$B$19)-Paramètres!$B$18,0)*Paramètres!$C$19,0)</f>
        <v>0</v>
      </c>
      <c r="CF14" s="108">
        <f>MAX(MIN(CC14,Paramètres!$B$17)*Paramètres!$C$17+MAX(MIN(CC14,Paramètres!$B$18)-Paramètres!$B$17,0)*Paramètres!$C$18+MAX(MIN(CC14,Paramètres!$B$19)-Paramètres!$B$18,0)*Paramètres!$C$19,0)</f>
        <v>0</v>
      </c>
      <c r="CG14" s="108">
        <f>MAX(CC14+CD14-CF14,0)*(1-Paramètres!$E$17)*Paramètres!$E$18</f>
        <v>0</v>
      </c>
      <c r="CH14" s="54">
        <f>MAX(CC14-CF14,0)*(1-Paramètres!$E$17)*Paramètres!$E$18</f>
        <v>0</v>
      </c>
      <c r="CI14" s="127">
        <f ca="1">OFFSET($AC14,0,VLOOKUP(Simulation!$C$27,Simulation!$Q$5:$R$14,2,FALSE))</f>
        <v>0</v>
      </c>
      <c r="CK14" s="167"/>
      <c r="CL14" s="167"/>
      <c r="CM14" s="167"/>
      <c r="CN14" s="167"/>
      <c r="CO14" s="167"/>
      <c r="CP14" s="167"/>
      <c r="CQ14" s="167"/>
      <c r="CR14" s="167"/>
      <c r="CS14" s="167"/>
      <c r="CT14" s="167"/>
      <c r="CU14" s="167"/>
      <c r="CV14" s="167"/>
    </row>
    <row r="15" spans="2:100" x14ac:dyDescent="0.2">
      <c r="B15" s="40">
        <f t="shared" si="0"/>
        <v>8</v>
      </c>
      <c r="C15" s="143">
        <f>SUMPRODUCT('Détail trésorerie'!$H$8:$H$367*('Détail trésorerie'!$B$8:$B$367&gt;$B14*12)*('Détail trésorerie'!$B$8:$B$367&lt;=$B15*12))</f>
        <v>12865.62422528412</v>
      </c>
      <c r="D15" s="143">
        <f>SUMPRODUCT('Détail trésorerie'!$E$8:$E$367*('Détail trésorerie'!$B$8:$B$367&gt;$B14*12)*('Détail trésorerie'!$B$8:$B$367&lt;=$B15*12))</f>
        <v>1770.4517699876558</v>
      </c>
      <c r="E15" s="144">
        <f>SUMPRODUCT('Détail trésorerie'!$J$8:$J$367*('Détail trésorerie'!$B$8:$B$367&gt;$B14*12)*('Détail trésorerie'!$B$8:$B$367&lt;=$B15*12))</f>
        <v>1608.203028160515</v>
      </c>
      <c r="F15" s="144">
        <f>SUMPRODUCT('Détail trésorerie'!$K$8:$K$367*('Détail trésorerie'!$B$8:$B$367&gt;$B14*12)*('Détail trésorerie'!$B$8:$B$367&lt;=$B15*12))</f>
        <v>1329.4478366126923</v>
      </c>
      <c r="G15" s="144">
        <f>SUMPRODUCT('Détail trésorerie'!$L$8:$L$367*('Détail trésorerie'!$B$8:$B$367&gt;$B14*12)*('Détail trésorerie'!$B$8:$B$367&lt;=$B15*12))</f>
        <v>643.28121126420592</v>
      </c>
      <c r="H15" s="145">
        <f>SUMPRODUCT('Détail trésorerie'!$M$8:$M$367*('Détail trésorerie'!$B$8:$B$367&gt;$B14*12)*('Détail trésorerie'!$B$8:$B$367&lt;=$B15*12))</f>
        <v>464.01353521070092</v>
      </c>
      <c r="I15" s="126">
        <f>MAX(MIN(Paramètres!$E$3*Simulation!$C$7*Paramètres!$C$3,Simulation!$C$7*Paramètres!$E$3-SUM(I$8:$I14)),0)*(B15&lt;=Simulation!$F$24)</f>
        <v>0</v>
      </c>
      <c r="J15" s="108">
        <f>MAX(MIN(Paramètres!$E$4*Simulation!$C$7*Paramètres!$C$4,Simulation!$C$7*Paramètres!$E$4-SUM($J$8:J14)),0)*(B15&lt;=Simulation!$F$24)</f>
        <v>2700</v>
      </c>
      <c r="K15" s="108">
        <f>MAX(MIN(Paramètres!$E$5*Simulation!$C$8*Paramètres!$C$5,Paramètres!$E$5*Simulation!$C$8-SUM($K$8:K14)),0)*(B15&lt;=Simulation!$F$24)</f>
        <v>2148</v>
      </c>
      <c r="L15" s="108">
        <v>0</v>
      </c>
      <c r="M15" s="108">
        <v>0</v>
      </c>
      <c r="N15" s="108">
        <f>MAX(MIN(Paramètres!$C$6*(Simulation!$C$10+Simulation!$C$11+Simulation!$C$12),(Simulation!$C$10+Simulation!$C$11+Simulation!$C$12)-SUM(N$8:N14)),0)*(B15&lt;=Simulation!$F$24)</f>
        <v>0</v>
      </c>
      <c r="O15" s="148">
        <f>25000*8/2*(1+Emprunteur!$F$7)^$B15</f>
        <v>108285.67056280802</v>
      </c>
      <c r="P15" s="165">
        <f>0*(1+Emprunteur!$F$8)^$B15</f>
        <v>0</v>
      </c>
      <c r="Q15" s="165">
        <f>0*(1+Emprunteur!$F$9)^$B15</f>
        <v>0</v>
      </c>
      <c r="R15" s="165">
        <f>0*(1+Emprunteur!$F$10)^$B15</f>
        <v>0</v>
      </c>
      <c r="S15" s="108">
        <f t="shared" si="5"/>
        <v>108285.67056280802</v>
      </c>
      <c r="T15" s="157">
        <v>1</v>
      </c>
      <c r="U15" s="157">
        <v>1</v>
      </c>
      <c r="V15" s="108">
        <f>(MAX(MIN(Paramètres!$B$9,S15/T15),0)*Paramètres!$C$9+MAX(MIN(Paramètres!$B$10,S15/T15)-Paramètres!$B$9,0)*Paramètres!$C$10+MAX(MIN(Paramètres!$B$11,S15/T15)-Paramètres!$B$10,0)*Paramètres!$C$11+MAX(MIN(Paramètres!$B$12,S15/T15)-Paramètres!$B$11,0)*Paramètres!$C$12+MAX(MIN(Paramètres!$B$13,S15/T15)-Paramètres!$B$12,0)*Paramètres!$C$13)*T15</f>
        <v>29348.134930751286</v>
      </c>
      <c r="W15" s="108">
        <f>(MAX(MIN(Paramètres!$B$9,S15/U15),0)*Paramètres!$C$9+MAX(MIN(Paramètres!$B$10,S15/U15)-Paramètres!$B$9,0)*Paramètres!$C$10+MAX(MIN(Paramètres!$B$11,S15/U15)-Paramètres!$B$10,0)*Paramètres!$C$11+MAX(MIN(Paramètres!$B$12,S15/U15)-Paramètres!$B$11,0)*Paramètres!$C$12+MAX(MIN(Paramètres!$B$13,S15/U15)-Paramètres!$B$12,0)*Paramètres!$C$13)*U15</f>
        <v>29348.134930751286</v>
      </c>
      <c r="X15" s="108">
        <f>MAX(V15,W15-Paramètres!$E$13*(T15-U15)*2)+MAX(P15,0)*Paramètres!$E$9+MAX(Q15,0)*Paramètres!$E$9+MAX(R15*Paramètres!$E$12,Paramètres!$E$11)</f>
        <v>30493.134930751286</v>
      </c>
      <c r="Y15" s="126">
        <f>(C15-SUM(D15:N15)+MIN(Y14,0))*(B15&lt;=Simulation!$F$24)</f>
        <v>-14518.614165219495</v>
      </c>
      <c r="Z15" s="108">
        <f>(MAX(MIN(Paramètres!$B$9,(O15+MAX(P15,0)+MAX(Q15+Y15,0)+R15)/T15),0)*Paramètres!$C$9+MAX(MIN(Paramètres!$B$10,(O15+MAX(P15,0)+MAX(Q15+Y15,0)+R15)/T15)-Paramètres!$B$9,0)*Paramètres!$C$10+MAX(MIN(Paramètres!$B$11,(O15+MAX(P15,0)+MAX(Q15+Y15,0)+R15)/T15)-Paramètres!$B$10,0)*Paramètres!$C$11+MAX(MIN(Paramètres!$B$12,(O15+MAX(P15,0)+MAX(Q15+Y15,0)+R15)/T15)-Paramètres!$B$11,0)*Paramètres!$C$12+MAX(MIN(Paramètres!$B$13,(O15+MAX(P15,0)+MAX(Q15+Y15,0)+R15)/T15)-Paramètres!$B$12,0)*Paramètres!$C$13)*T15</f>
        <v>29348.134930751286</v>
      </c>
      <c r="AA15" s="108">
        <f>(MAX(MIN(Paramètres!$B$9,(O15+MAX(P15,0)+MAX(Q15+Y15,0)+R15)/U15),0)*Paramètres!$C$9+MAX(MIN(Paramètres!$B$10,(O15+MAX(P15,0)+MAX(Q15+Y15,0)+R15)/U15)-Paramètres!$B$9,0)*Paramètres!$C$10+MAX(MIN(Paramètres!$B$11,(O15+MAX(P15,0)+MAX(Q15+Y15,0)+R15)/U15)-Paramètres!$B$10,0)*Paramètres!$C$11+MAX(MIN(Paramètres!$B$12,(O15+MAX(P15,0)+MAX(Q15+Y15,0)+R15)/U15)-Paramètres!$B$11,0)*Paramètres!$C$12+MAX(MIN(Paramètres!$B$13,(O15+MAX(P15,0)+MAX(Q15+Y15,0)+R15)/U15)-Paramètres!$B$12,0)*Paramètres!$C$13)*U15</f>
        <v>29348.134930751286</v>
      </c>
      <c r="AB15" s="108">
        <f>MAX(Z15,AA15-Paramètres!$E$13*(T15-U15)*2)+MAX(P15,0)*Paramètres!$E$9+MAX(Q15+Y15,0)*Paramètres!$E$9+MAX(R15*Paramètres!$E$12,Paramètres!$E$11)</f>
        <v>30493.134930751286</v>
      </c>
      <c r="AC15" s="108">
        <f t="shared" si="6"/>
        <v>0</v>
      </c>
      <c r="AD15" s="149">
        <f t="shared" si="1"/>
        <v>6432.8121126420601</v>
      </c>
      <c r="AE15" s="108">
        <f>(MAX(MIN(Paramètres!$B$9,(O15+MAX(P15,0)+MAX(Q15+AD15,0)+R15)/T15),0)*Paramètres!$C$9+MAX(MIN(Paramètres!$B$10,(O15+MAX(P15,0)+MAX(Q15+AD15,0)+R15)/T15)-Paramètres!$B$9,0)*Paramètres!$C$10+MAX(MIN(Paramètres!$B$11,(O15+MAX(P15,0)+MAX(Q15+AD15,0)+R15)/T15)-Paramètres!$B$10,0)*Paramètres!$C$11+MAX(MIN(Paramètres!$B$12,(O15+MAX(P15,0)+MAX(Q15+AD15,0)+R15)/T15)-Paramètres!$B$11,0)*Paramètres!$C$12+MAX(MIN(Paramètres!$B$13,(O15+MAX(P15,0)+MAX(Q15+AD15,0)+R15)/T15)-Paramètres!$B$12,0)*Paramètres!$C$13)*T15</f>
        <v>31985.587896934532</v>
      </c>
      <c r="AF15" s="108">
        <f>(MAX(MIN(Paramètres!$B$9,(O15+MAX(P15,0)+MAX(Q15+AD15,0)+R15)/U15),0)*Paramètres!$C$9+MAX(MIN(Paramètres!$B$10,(O15+MAX(P15,0)+MAX(Q15+AD15,0)+R15)/U15)-Paramètres!$B$9,0)*Paramètres!$C$10+MAX(MIN(Paramètres!$B$11,(O15+MAX(P15,0)+MAX(Q15+AD15,0)+R15)/U15)-Paramètres!$B$10,0)*Paramètres!$C$11+MAX(MIN(Paramètres!$B$12,(O15+MAX(P15,0)+MAX(Q15+AD15,0)+R15)/U15)-Paramètres!$B$11,0)*Paramètres!$C$12+MAX(MIN(Paramètres!$B$13,(O15+MAX(P15,0)+MAX(Q15+AD15,0)+R15)/U15)-Paramètres!$B$12,0)*Paramètres!$C$13)*U15</f>
        <v>31985.587896934532</v>
      </c>
      <c r="AG15" s="108">
        <f>MAX(AE15,AF15-Paramètres!$E$13*(T15-U15)*2)+MAX(P15,0)*Paramètres!$E$9+MAX(Q15+AD15,0)*Paramètres!$E$9+MAX(R15*Paramètres!$E$12,Paramètres!$E$11)</f>
        <v>34237.031580308969</v>
      </c>
      <c r="AH15" s="150">
        <f t="shared" si="7"/>
        <v>3743.8966495576824</v>
      </c>
      <c r="AI15" s="149">
        <f t="shared" si="8"/>
        <v>6432.8121126420601</v>
      </c>
      <c r="AJ15" s="108">
        <f>(MAX(MIN(Paramètres!$B$9,(O15+MAX(P15,0)+MAX(Q15+AI15,0)+R15)/T15),0)*Paramètres!$C$9+MAX(MIN(Paramètres!$B$10,(O15+MAX(P15,0)+MAX(Q15+AI15,0)+R15)/T15)-Paramètres!$B$9,0)*Paramètres!$C$10+MAX(MIN(Paramètres!$B$11,(O15+MAX(P15,0)+MAX(Q15+AI15,0)+R15)/T15)-Paramètres!$B$10,0)*Paramètres!$C$11+MAX(MIN(Paramètres!$B$12,(O15+MAX(P15,0)+MAX(Q15+AI15,0)+R15)/T15)-Paramètres!$B$11,0)*Paramètres!$C$12+MAX(MIN(Paramètres!$B$13,(O15+MAX(P15,0)+MAX(Q15+AI15,0)+R15)/T15)-Paramètres!$B$12,0)*Paramètres!$C$13)*T15</f>
        <v>31985.587896934532</v>
      </c>
      <c r="AK15" s="108">
        <f>(MAX(MIN(Paramètres!$B$9,(O15+MAX(P15,0)+MAX(Q15+AI15,0)+R15)/U15),0)*Paramètres!$C$9+MAX(MIN(Paramètres!$B$10,(O15+MAX(P15,0)+MAX(Q15+AI15,0)+R15)/U15)-Paramètres!$B$9,0)*Paramètres!$C$10+MAX(MIN(Paramètres!$B$11,(O15+MAX(P15,0)+MAX(Q15+AI15,0)+R15)/U15)-Paramètres!$B$10,0)*Paramètres!$C$11+MAX(MIN(Paramètres!$B$12,(O15+MAX(P15,0)+MAX(Q15+AI15,0)+R15)/U15)-Paramètres!$B$11,0)*Paramètres!$C$12+MAX(MIN(Paramètres!$B$13,(O15+MAX(P15,0)+MAX(Q15+AI15,0)+R15)/U15)-Paramètres!$B$12,0)*Paramètres!$C$13)*U15</f>
        <v>31985.587896934532</v>
      </c>
      <c r="AL15" s="108">
        <f>MAX(AJ15,AK15-Paramètres!$E$13*(T15-U15)*2)+MAX(P15,0)*Paramètres!$E$9+MAX(Q15+AI15,0)*Paramètres!$E$9+MAX(R15*Paramètres!$E$12,Paramètres!$E$11)</f>
        <v>34237.031580308969</v>
      </c>
      <c r="AM15" s="150">
        <f>MAX(AL15-11%/9*Simulation!$C$7*(B15&lt;=9),0)-X15</f>
        <v>2277.2299828910182</v>
      </c>
      <c r="AN15" s="149">
        <f>MAX(MAX(C15-D15,0)-SUM(E15:H15),-MIN(SUM(O15:R15),Paramètres!$E$19+MAX(P15,0)))</f>
        <v>7050.2268440483504</v>
      </c>
      <c r="AO15" s="108">
        <f t="shared" si="18"/>
        <v>0</v>
      </c>
      <c r="AP15" s="108">
        <f>MIN(SUM($AO$8:AO15)-SUM($AR$8:AR14),0)</f>
        <v>0</v>
      </c>
      <c r="AQ15" s="108">
        <f t="shared" si="9"/>
        <v>7050.2268440483504</v>
      </c>
      <c r="AR15" s="108">
        <f t="shared" si="10"/>
        <v>0</v>
      </c>
      <c r="AS15" s="108">
        <f>(MAX(MIN(Paramètres!$B$9,(O15+P15+AQ15+MAX(Q15,0)+R15)/T15),0)*Paramètres!$C$9+MAX(MIN(Paramètres!$B$10,(O15+P15+AQ15+MAX(Q15,0)+R15)/T15)-Paramètres!$B$9,0)*Paramètres!$C$10+MAX(MIN(Paramètres!$B$11,(O15+P15+AQ15+MAX(Q15,0)+R15)/T15)-Paramètres!$B$10,0)*Paramètres!$C$11+MAX(MIN(Paramètres!$B$12,(O15+P15+AQ15+MAX(Q15,0)+R15)/T15)-Paramètres!$B$11,0)*Paramètres!$C$12+MAX(MIN(Paramètres!$B$13,(O15+P15+AQ15+MAX(Q15,0)+R15)/T15)-Paramètres!$B$12,0)*Paramètres!$C$13)*T15</f>
        <v>32238.727936811112</v>
      </c>
      <c r="AT15" s="108">
        <f>(MAX(MIN(Paramètres!$B$9,(O15+P15+AQ15+MAX(Q15,0)+R15)/U15),0)*Paramètres!$C$9+MAX(MIN(Paramètres!$B$10,(O15+P15+AQ15+MAX(Q15,0)+R15)/U15)-Paramètres!$B$9,0)*Paramètres!$C$10+MAX(MIN(Paramètres!$B$11,(O15+P15+AQ15+MAX(Q15,0)+R15)/U15)-Paramètres!$B$10,0)*Paramètres!$C$11+MAX(MIN(Paramètres!$B$12,(O15+P15+AQ15+MAX(Q15,0)+R15)/U15)-Paramètres!$B$11,0)*Paramètres!$C$12+MAX(MIN(Paramètres!$B$13,(O15+P15+AQ15+MAX(Q15,0)+R15)/U15)-Paramètres!$B$12,0)*Paramètres!$C$13)*U15</f>
        <v>32238.727936811112</v>
      </c>
      <c r="AU15" s="108">
        <f>MAX(AS15,AT15-Paramètres!$E$13*(T15-U15)*2)+MAX(P15+AQ15,0)*Paramètres!$E$9+MAX(Q15,0)*Paramètres!$E$9+MAX(R15*Paramètres!$E$12,Paramètres!$E$11)</f>
        <v>34596.366953987432</v>
      </c>
      <c r="AV15" s="150">
        <f t="shared" si="2"/>
        <v>4103.2320232361453</v>
      </c>
      <c r="AW15" s="108">
        <f t="shared" si="3"/>
        <v>9005.9369576988829</v>
      </c>
      <c r="AX15" s="108">
        <f>(MAX(MIN(Paramètres!$B$9,(O15+MAX(P15+AW15,0)+MAX(Q15,0)+R15)/T15),0)*Paramètres!$C$9+MAX(MIN(Paramètres!$B$10,(O15+MAX(P15+AW15,0)+MAX(Q15,0)+R15)/T15)-Paramètres!$B$9,0)*Paramètres!$C$10+MAX(MIN(Paramètres!$B$11,(O15+MAX(P15+AW15,0)+MAX(Q15,0)+R15)/T15)-Paramètres!$B$10,0)*Paramètres!$C$11+MAX(MIN(Paramètres!$B$12,(O15+MAX(P15+AW15,0)+MAX(Q15,0)+R15)/T15)-Paramètres!$B$11,0)*Paramètres!$C$12+MAX(MIN(Paramètres!$B$13,(O15+MAX(P15+AW15,0)+MAX(Q15,0)+R15)/T15)-Paramètres!$B$12,0)*Paramètres!$C$13)*T15</f>
        <v>33040.569083407827</v>
      </c>
      <c r="AY15" s="108">
        <f>(MAX(MIN(Paramètres!$B$9,(O15+MAX(P15+AW15,0)+MAX(Q15,0)+R15)/U15),0)*Paramètres!$C$9+MAX(MIN(Paramètres!$B$10,(O15+MAX(P15+AW15,0)+MAX(Q15,0)+R15)/U15)-Paramètres!$B$9,0)*Paramètres!$C$10+MAX(MIN(Paramètres!$B$11,(O15+MAX(P15+AW15,0)+MAX(Q15,0)+R15)/U15)-Paramètres!$B$10,0)*Paramètres!$C$11+MAX(MIN(Paramètres!$B$12,(O15+MAX(P15+AW15,0)+MAX(Q15,0)+R15)/U15)-Paramètres!$B$11,0)*Paramètres!$C$12+MAX(MIN(Paramètres!$B$13,(O15+MAX(P15+AW15,0)+MAX(Q15,0)+R15)/U15)-Paramètres!$B$12,0)*Paramètres!$C$13)*U15</f>
        <v>33040.569083407827</v>
      </c>
      <c r="AZ15" s="108">
        <f>MAX(AX15,AY15-Paramètres!$E$13*(T15-U15)*2)+MAX(P15+AW15,0)*Paramètres!$E$9+MAX(Q15,0)*Paramètres!$E$9+MAX(R15*Paramètres!$E$12,Paramètres!$E$11)</f>
        <v>35734.590240132035</v>
      </c>
      <c r="BA15" s="108">
        <f t="shared" si="4"/>
        <v>5241.4553093807481</v>
      </c>
      <c r="BB15" s="149">
        <f>MAX(MAX(C15-D15,0)-SUM(E15:H15),-MIN(SUM(O15:R15),Paramètres!$E$19+MAX(P15,0)))</f>
        <v>7050.2268440483504</v>
      </c>
      <c r="BC15" s="108">
        <f t="shared" si="20"/>
        <v>0</v>
      </c>
      <c r="BD15" s="108">
        <f>MIN(SUM($BC$8:BC15)-SUM($BF$8:BF14),0)</f>
        <v>-1.8189894035458565E-12</v>
      </c>
      <c r="BE15" s="108">
        <f t="shared" si="11"/>
        <v>7050.2268440483485</v>
      </c>
      <c r="BF15" s="108">
        <f t="shared" si="12"/>
        <v>0</v>
      </c>
      <c r="BG15" s="108">
        <f>(MAX(MIN(Paramètres!$B$9,(O15+P15+BE15+MAX(Q15,0)+R15)/T15),0)*Paramètres!$C$9+MAX(MIN(Paramètres!$B$10,(O15+P15+BE15+MAX(Q15,0)+R15)/T15)-Paramètres!$B$9,0)*Paramètres!$C$10+MAX(MIN(Paramètres!$B$11,(O15+P15+BE15+MAX(Q15,0)+R15)/T15)-Paramètres!$B$10,0)*Paramètres!$C$11+MAX(MIN(Paramètres!$B$12,(O15+P15+BE15+MAX(Q15,0)+R15)/T15)-Paramètres!$B$11,0)*Paramètres!$C$12+MAX(MIN(Paramètres!$B$13,(O15+P15+BE15+MAX(Q15,0)+R15)/T15)-Paramètres!$B$12,0)*Paramètres!$C$13)*T15</f>
        <v>32238.727936811112</v>
      </c>
      <c r="BH15" s="108">
        <f>(MAX(MIN(Paramètres!$B$9,(O15+P15+BE15+MAX(Q15,0)+R15)/U15),0)*Paramètres!$C$9+MAX(MIN(Paramètres!$B$10,(O15+P15+BE15+MAX(Q15,0)+R15)/U15)-Paramètres!$B$9,0)*Paramètres!$C$10+MAX(MIN(Paramètres!$B$11,(O15+P15+BE15+MAX(Q15,0)+R15)/U15)-Paramètres!$B$10,0)*Paramètres!$C$11+MAX(MIN(Paramètres!$B$12,(O15+P15+BE15+MAX(Q15,0)+R15)/U15)-Paramètres!$B$11,0)*Paramètres!$C$12+MAX(MIN(Paramètres!$B$13,(O15+P15+BE15+MAX(Q15,0)+R15)/U15)-Paramètres!$B$12,0)*Paramètres!$C$13)*U15</f>
        <v>32238.727936811112</v>
      </c>
      <c r="BI15" s="108">
        <f>MAX(BG15,BH15-Paramètres!$E$13*(T15-U15)*2)+MAX(P15+BE15,0)*Paramètres!$E$9+MAX(Q15,0)*Paramètres!$E$9+MAX(R15*Paramètres!$E$12,Paramètres!$E$11)</f>
        <v>34596.366953987424</v>
      </c>
      <c r="BJ15" s="150">
        <f>MAX(BI15-IFERROR(VLOOKUP(B15,Paramètres!$B$28:$C$39,2,FALSE),0)*MIN(MIN((Simulation!$C$7+Simulation!$C$12+Simulation!$C$8+Simulation!$C$10)/Simulation!$C$28,Paramètres!$C$26)*Simulation!$C$28,Paramètres!$C$25),0)-X15</f>
        <v>1502.232023236138</v>
      </c>
      <c r="BK15" s="108">
        <f t="shared" si="13"/>
        <v>9005.9369576988829</v>
      </c>
      <c r="BL15" s="108">
        <f>(MAX(MIN(Paramètres!$B$9,(O15+MAX(P15+BK15,0)+MAX(Q15,0)+R15)/T15),0)*Paramètres!$C$9+MAX(MIN(Paramètres!$B$10,(O15+MAX(P15+BK15,0)+MAX(Q15,0)+R15)/T15)-Paramètres!$B$9,0)*Paramètres!$C$10+MAX(MIN(Paramètres!$B$11,(O15+MAX(P15+BK15,0)+MAX(Q15,0)+R15)/T15)-Paramètres!$B$10,0)*Paramètres!$C$11+MAX(MIN(Paramètres!$B$12,(O15+MAX(P15+BK15,0)+MAX(Q15,0)+R15)/T15)-Paramètres!$B$11,0)*Paramètres!$C$12+MAX(MIN(Paramètres!$B$13,(O15+MAX(P15+BK15,0)+MAX(Q15,0)+R15)/T15)-Paramètres!$B$12,0)*Paramètres!$C$13)*T15</f>
        <v>33040.569083407827</v>
      </c>
      <c r="BM15" s="108">
        <f>(MAX(MIN(Paramètres!$B$9,(O15+MAX(P15+BK15,0)+MAX(Q15,0)+R15)/U15),0)*Paramètres!$C$9+MAX(MIN(Paramètres!$B$10,(O15+MAX(P15+BK15,0)+MAX(Q15,0)+R15)/U15)-Paramètres!$B$9,0)*Paramètres!$C$10+MAX(MIN(Paramètres!$B$11,(O15+MAX(P15+BK15,0)+MAX(Q15,0)+R15)/U15)-Paramètres!$B$10,0)*Paramètres!$C$11+MAX(MIN(Paramètres!$B$12,(O15+MAX(P15+BK15,0)+MAX(Q15,0)+R15)/U15)-Paramètres!$B$11,0)*Paramètres!$C$12+MAX(MIN(Paramètres!$B$13,(O15+MAX(P15+BK15,0)+MAX(Q15,0)+R15)/U15)-Paramètres!$B$12,0)*Paramètres!$C$13)*U15</f>
        <v>33040.569083407827</v>
      </c>
      <c r="BN15" s="108">
        <f>MAX(BL15,BM15-Paramètres!$E$13*(T15-U15)*2)+MAX(P15+BK15,0)*Paramètres!$E$9+MAX(Q15,0)*Paramètres!$E$9+MAX(R15*Paramètres!$E$12,Paramètres!$E$11)</f>
        <v>35734.590240132035</v>
      </c>
      <c r="BO15" s="108">
        <f>MAX(BN15-IFERROR(VLOOKUP(B15,Paramètres!$B$28:$C$39,2,FALSE),0)*MIN(MIN((Simulation!$C$7+Simulation!$C$12+Simulation!$C$8+Simulation!$C$10)/Simulation!$C$28,Paramètres!$C$26)*Simulation!$C$28,Paramètres!$C$25),0)-X15</f>
        <v>2640.4553093807481</v>
      </c>
      <c r="BP15" s="126">
        <f t="shared" si="14"/>
        <v>2202.2268440483504</v>
      </c>
      <c r="BQ15" s="108">
        <f t="shared" si="15"/>
        <v>0</v>
      </c>
      <c r="BR15" s="108">
        <f t="shared" ref="BR15:BR37" si="21">MIN(SUM(BQ9:BQ15)-SUM(BT9:BT14),0)</f>
        <v>0</v>
      </c>
      <c r="BS15" s="108">
        <f t="shared" si="19"/>
        <v>2202.2268440483504</v>
      </c>
      <c r="BT15" s="108">
        <f t="shared" si="16"/>
        <v>0</v>
      </c>
      <c r="BU15" s="108">
        <f>(MAX(MIN(Paramètres!$B$9,(O15+MAX(P15,0)+MAX(Q15,0)+R15+BS15)/T15),0)*Paramètres!$C$9+MAX(MIN(Paramètres!$B$10,(O15+MAX(P15,0)+MAX(Q15,0)+R15+BS15)/T15)-Paramètres!$B$9,0)*Paramètres!$C$10+MAX(MIN(Paramètres!$B$11,(O15+MAX(P15,0)+MAX(Q15,0)+R15+BS15)/T15)-Paramètres!$B$10,0)*Paramètres!$C$11+MAX(MIN(Paramètres!$B$12,(O15+MAX(P15,0)+MAX(Q15,0)+R15+BS15)/T15)-Paramètres!$B$11,0)*Paramètres!$C$12+MAX(MIN(Paramètres!$B$13,(O15+MAX(P15,0)+MAX(Q15,0)+R15+BS15)/T15)-Paramètres!$B$12,0)*Paramètres!$C$13)*T15</f>
        <v>30251.047936811112</v>
      </c>
      <c r="BV15" s="108">
        <f>(MAX(MIN(Paramètres!$B$9,(O15+MAX(P15,0)+MAX(Q15,0)+R15+BS15)/U15),0)*Paramètres!$C$9+MAX(MIN(Paramètres!$B$10,(O15+MAX(P15,0)+MAX(Q15,0)+R15+BS15)/U15)-Paramètres!$B$9,0)*Paramètres!$C$10+MAX(MIN(Paramètres!$B$11,(O15+MAX(P15,0)+MAX(Q15,0)+R15+BS15)/U15)-Paramètres!$B$10,0)*Paramètres!$C$11+MAX(MIN(Paramètres!$B$12,(O15+MAX(P15,0)+MAX(Q15,0)+R15+BS15)/U15)-Paramètres!$B$11,0)*Paramètres!$C$12+MAX(MIN(Paramètres!$B$13,(O15+MAX(P15,0)+MAX(Q15,0)+R15+BS15)/U15)-Paramètres!$B$12,0)*Paramètres!$C$13)*U15</f>
        <v>30251.047936811112</v>
      </c>
      <c r="BW15" s="108">
        <f>MAX(BU15,BV15-Paramètres!$E$13*(T15-U15)*2)+MAX(P15,0)*Paramètres!$E$9+MAX(Q15,0)*Paramètres!$E$9+MAX((R15+BS15)*Paramètres!$E$12,Paramètres!$E$11)</f>
        <v>31396.047936811112</v>
      </c>
      <c r="BX15" s="108">
        <f t="shared" si="17"/>
        <v>902.91300605982542</v>
      </c>
      <c r="BY15" s="149">
        <f>(C15-SUM(D15:N15)+MIN(BY14,0))*(B15&lt;=Simulation!$F$24)</f>
        <v>-14518.614165219495</v>
      </c>
      <c r="BZ15" s="108">
        <f>(Simulation!$F$22-(Simulation!$C$13-SUM($I$8:$N$37)))*(B15=Simulation!$F$24)</f>
        <v>0</v>
      </c>
      <c r="CA15" s="108">
        <f>MAX(MIN(BY15+BZ15,Paramètres!$B$17)*Paramètres!$C$17+MAX(MIN(BY15+BZ15,Paramètres!$B$18)-Paramètres!$B$17,0)*Paramètres!$C$18+MAX(MIN(BY15+BZ15,Paramètres!$B$19)-Paramètres!$B$18,0)*Paramètres!$C$19,0)</f>
        <v>0</v>
      </c>
      <c r="CB15" s="150">
        <f>MAX(MIN(BY15,Paramètres!$B$17)*Paramètres!$C$17+MAX(MIN(BY15,Paramètres!$B$18)-Paramètres!$B$17,0)*Paramètres!$C$18+MAX(MIN(BY15,Paramètres!$B$19)-Paramètres!$B$18,0)*Paramètres!$C$19,0)</f>
        <v>0</v>
      </c>
      <c r="CC15" s="108">
        <f>(C15-SUM(D15:N15)+MIN(CC14,0))*(B15&lt;=Simulation!$F$24)</f>
        <v>-14518.614165219495</v>
      </c>
      <c r="CD15" s="108">
        <f>(Simulation!$F$22-(Simulation!$C$13-SUM($I$8:$N$37)))*(B15=Simulation!$F$24)</f>
        <v>0</v>
      </c>
      <c r="CE15" s="108">
        <f>MAX(MIN(CC15+CD15,Paramètres!$B$17)*Paramètres!$C$17+MAX(MIN(CC15+CD15,Paramètres!$B$18)-Paramètres!$B$17,0)*Paramètres!$C$18+MAX(MIN(CC15+CD15,Paramètres!$B$19)-Paramètres!$B$18,0)*Paramètres!$C$19,0)</f>
        <v>0</v>
      </c>
      <c r="CF15" s="108">
        <f>MAX(MIN(CC15,Paramètres!$B$17)*Paramètres!$C$17+MAX(MIN(CC15,Paramètres!$B$18)-Paramètres!$B$17,0)*Paramètres!$C$18+MAX(MIN(CC15,Paramètres!$B$19)-Paramètres!$B$18,0)*Paramètres!$C$19,0)</f>
        <v>0</v>
      </c>
      <c r="CG15" s="108">
        <f>MAX(CC15+CD15-CF15,0)*(1-Paramètres!$E$17)*Paramètres!$E$18</f>
        <v>0</v>
      </c>
      <c r="CH15" s="54">
        <f>MAX(CC15-CF15,0)*(1-Paramètres!$E$17)*Paramètres!$E$18</f>
        <v>0</v>
      </c>
      <c r="CI15" s="127">
        <f ca="1">OFFSET($AC15,0,VLOOKUP(Simulation!$C$27,Simulation!$Q$5:$R$14,2,FALSE))</f>
        <v>0</v>
      </c>
      <c r="CK15" s="167"/>
      <c r="CL15" s="167"/>
      <c r="CM15" s="167"/>
      <c r="CN15" s="167"/>
      <c r="CO15" s="167"/>
      <c r="CP15" s="167"/>
      <c r="CQ15" s="167"/>
      <c r="CR15" s="167"/>
      <c r="CS15" s="167"/>
      <c r="CT15" s="167"/>
      <c r="CU15" s="167"/>
      <c r="CV15" s="167"/>
    </row>
    <row r="16" spans="2:100" x14ac:dyDescent="0.2">
      <c r="B16" s="40">
        <f t="shared" si="0"/>
        <v>9</v>
      </c>
      <c r="C16" s="143">
        <f>SUMPRODUCT('Détail trésorerie'!$H$8:$H$367*('Détail trésorerie'!$B$8:$B$367&gt;$B15*12)*('Détail trésorerie'!$B$8:$B$367&lt;=$B16*12))</f>
        <v>12994.280467536964</v>
      </c>
      <c r="D16" s="143">
        <f>SUMPRODUCT('Détail trésorerie'!$E$8:$E$367*('Détail trésorerie'!$B$8:$B$367&gt;$B15*12)*('Détail trésorerie'!$B$8:$B$367&lt;=$B16*12))</f>
        <v>1641.1671387380029</v>
      </c>
      <c r="E16" s="144">
        <f>SUMPRODUCT('Détail trésorerie'!$J$8:$J$367*('Détail trésorerie'!$B$8:$B$367&gt;$B15*12)*('Détail trésorerie'!$B$8:$B$367&lt;=$B16*12))</f>
        <v>1624.2850584421205</v>
      </c>
      <c r="F16" s="144">
        <f>SUMPRODUCT('Détail trésorerie'!$K$8:$K$367*('Détail trésorerie'!$B$8:$B$367&gt;$B15*12)*('Détail trésorerie'!$B$8:$B$367&lt;=$B16*12))</f>
        <v>1342.7423149788194</v>
      </c>
      <c r="G16" s="144">
        <f>SUMPRODUCT('Détail trésorerie'!$L$8:$L$367*('Détail trésorerie'!$B$8:$B$367&gt;$B15*12)*('Détail trésorerie'!$B$8:$B$367&lt;=$B16*12))</f>
        <v>649.7140233768481</v>
      </c>
      <c r="H16" s="145">
        <f>SUMPRODUCT('Détail trésorerie'!$M$8:$M$367*('Détail trésorerie'!$B$8:$B$367&gt;$B15*12)*('Détail trésorerie'!$B$8:$B$367&lt;=$B16*12))</f>
        <v>465.08567056280793</v>
      </c>
      <c r="I16" s="126">
        <f>MAX(MIN(Paramètres!$E$3*Simulation!$C$7*Paramètres!$C$3,Simulation!$C$7*Paramètres!$E$3-SUM(I$8:$I15)),0)*(B16&lt;=Simulation!$F$24)</f>
        <v>0</v>
      </c>
      <c r="J16" s="108">
        <f>MAX(MIN(Paramètres!$E$4*Simulation!$C$7*Paramètres!$C$4,Simulation!$C$7*Paramètres!$E$4-SUM($J$8:J15)),0)*(B16&lt;=Simulation!$F$24)</f>
        <v>2700</v>
      </c>
      <c r="K16" s="108">
        <f>MAX(MIN(Paramètres!$E$5*Simulation!$C$8*Paramètres!$C$5,Paramètres!$E$5*Simulation!$C$8-SUM($K$8:K15)),0)*(B16&lt;=Simulation!$F$24)</f>
        <v>2148</v>
      </c>
      <c r="L16" s="108">
        <v>0</v>
      </c>
      <c r="M16" s="108">
        <v>0</v>
      </c>
      <c r="N16" s="108">
        <f>MAX(MIN(Paramètres!$C$6*(Simulation!$C$10+Simulation!$C$11+Simulation!$C$12),(Simulation!$C$10+Simulation!$C$11+Simulation!$C$12)-SUM(N$8:N15)),0)*(B16&lt;=Simulation!$F$24)</f>
        <v>0</v>
      </c>
      <c r="O16" s="148">
        <f>25000*8/2*(1+Emprunteur!$F$7)^$B16</f>
        <v>109368.52726843611</v>
      </c>
      <c r="P16" s="165">
        <f>0*(1+Emprunteur!$F$8)^$B16</f>
        <v>0</v>
      </c>
      <c r="Q16" s="165">
        <f>0*(1+Emprunteur!$F$9)^$B16</f>
        <v>0</v>
      </c>
      <c r="R16" s="165">
        <f>0*(1+Emprunteur!$F$10)^$B16</f>
        <v>0</v>
      </c>
      <c r="S16" s="108">
        <f t="shared" si="5"/>
        <v>109368.52726843611</v>
      </c>
      <c r="T16" s="157">
        <v>1</v>
      </c>
      <c r="U16" s="157">
        <v>1</v>
      </c>
      <c r="V16" s="108">
        <f>(MAX(MIN(Paramètres!$B$9,S16/T16),0)*Paramètres!$C$9+MAX(MIN(Paramètres!$B$10,S16/T16)-Paramètres!$B$9,0)*Paramètres!$C$10+MAX(MIN(Paramètres!$B$11,S16/T16)-Paramètres!$B$10,0)*Paramètres!$C$11+MAX(MIN(Paramètres!$B$12,S16/T16)-Paramètres!$B$11,0)*Paramètres!$C$12+MAX(MIN(Paramètres!$B$13,S16/T16)-Paramètres!$B$12,0)*Paramètres!$C$13)*T16</f>
        <v>29792.106180058807</v>
      </c>
      <c r="W16" s="108">
        <f>(MAX(MIN(Paramètres!$B$9,S16/U16),0)*Paramètres!$C$9+MAX(MIN(Paramètres!$B$10,S16/U16)-Paramètres!$B$9,0)*Paramètres!$C$10+MAX(MIN(Paramètres!$B$11,S16/U16)-Paramètres!$B$10,0)*Paramètres!$C$11+MAX(MIN(Paramètres!$B$12,S16/U16)-Paramètres!$B$11,0)*Paramètres!$C$12+MAX(MIN(Paramètres!$B$13,S16/U16)-Paramètres!$B$12,0)*Paramètres!$C$13)*U16</f>
        <v>29792.106180058807</v>
      </c>
      <c r="X16" s="108">
        <f>MAX(V16,W16-Paramètres!$E$13*(T16-U16)*2)+MAX(P16,0)*Paramètres!$E$9+MAX(Q16,0)*Paramètres!$E$9+MAX(R16*Paramètres!$E$12,Paramètres!$E$11)</f>
        <v>30937.106180058807</v>
      </c>
      <c r="Y16" s="126">
        <f>(C16-SUM(D16:N16)+MIN(Y15,0))*(B16&lt;=Simulation!$F$24)</f>
        <v>-12095.327903781128</v>
      </c>
      <c r="Z16" s="108">
        <f>(MAX(MIN(Paramètres!$B$9,(O16+MAX(P16,0)+MAX(Q16+Y16,0)+R16)/T16),0)*Paramètres!$C$9+MAX(MIN(Paramètres!$B$10,(O16+MAX(P16,0)+MAX(Q16+Y16,0)+R16)/T16)-Paramètres!$B$9,0)*Paramètres!$C$10+MAX(MIN(Paramètres!$B$11,(O16+MAX(P16,0)+MAX(Q16+Y16,0)+R16)/T16)-Paramètres!$B$10,0)*Paramètres!$C$11+MAX(MIN(Paramètres!$B$12,(O16+MAX(P16,0)+MAX(Q16+Y16,0)+R16)/T16)-Paramètres!$B$11,0)*Paramètres!$C$12+MAX(MIN(Paramètres!$B$13,(O16+MAX(P16,0)+MAX(Q16+Y16,0)+R16)/T16)-Paramètres!$B$12,0)*Paramètres!$C$13)*T16</f>
        <v>29792.106180058807</v>
      </c>
      <c r="AA16" s="108">
        <f>(MAX(MIN(Paramètres!$B$9,(O16+MAX(P16,0)+MAX(Q16+Y16,0)+R16)/U16),0)*Paramètres!$C$9+MAX(MIN(Paramètres!$B$10,(O16+MAX(P16,0)+MAX(Q16+Y16,0)+R16)/U16)-Paramètres!$B$9,0)*Paramètres!$C$10+MAX(MIN(Paramètres!$B$11,(O16+MAX(P16,0)+MAX(Q16+Y16,0)+R16)/U16)-Paramètres!$B$10,0)*Paramètres!$C$11+MAX(MIN(Paramètres!$B$12,(O16+MAX(P16,0)+MAX(Q16+Y16,0)+R16)/U16)-Paramètres!$B$11,0)*Paramètres!$C$12+MAX(MIN(Paramètres!$B$13,(O16+MAX(P16,0)+MAX(Q16+Y16,0)+R16)/U16)-Paramètres!$B$12,0)*Paramètres!$C$13)*U16</f>
        <v>29792.106180058807</v>
      </c>
      <c r="AB16" s="108">
        <f>MAX(Z16,AA16-Paramètres!$E$13*(T16-U16)*2)+MAX(P16,0)*Paramètres!$E$9+MAX(Q16+Y16,0)*Paramètres!$E$9+MAX(R16*Paramètres!$E$12,Paramètres!$E$11)</f>
        <v>30937.106180058807</v>
      </c>
      <c r="AC16" s="108">
        <f t="shared" si="6"/>
        <v>0</v>
      </c>
      <c r="AD16" s="149">
        <f t="shared" si="1"/>
        <v>6497.1402337684822</v>
      </c>
      <c r="AE16" s="108">
        <f>(MAX(MIN(Paramètres!$B$9,(O16+MAX(P16,0)+MAX(Q16+AD16,0)+R16)/T16),0)*Paramètres!$C$9+MAX(MIN(Paramètres!$B$10,(O16+MAX(P16,0)+MAX(Q16+AD16,0)+R16)/T16)-Paramètres!$B$9,0)*Paramètres!$C$10+MAX(MIN(Paramètres!$B$11,(O16+MAX(P16,0)+MAX(Q16+AD16,0)+R16)/T16)-Paramètres!$B$10,0)*Paramètres!$C$11+MAX(MIN(Paramètres!$B$12,(O16+MAX(P16,0)+MAX(Q16+AD16,0)+R16)/T16)-Paramètres!$B$11,0)*Paramètres!$C$12+MAX(MIN(Paramètres!$B$13,(O16+MAX(P16,0)+MAX(Q16+AD16,0)+R16)/T16)-Paramètres!$B$12,0)*Paramètres!$C$13)*T16</f>
        <v>32455.933675903885</v>
      </c>
      <c r="AF16" s="108">
        <f>(MAX(MIN(Paramètres!$B$9,(O16+MAX(P16,0)+MAX(Q16+AD16,0)+R16)/U16),0)*Paramètres!$C$9+MAX(MIN(Paramètres!$B$10,(O16+MAX(P16,0)+MAX(Q16+AD16,0)+R16)/U16)-Paramètres!$B$9,0)*Paramètres!$C$10+MAX(MIN(Paramètres!$B$11,(O16+MAX(P16,0)+MAX(Q16+AD16,0)+R16)/U16)-Paramètres!$B$10,0)*Paramètres!$C$11+MAX(MIN(Paramètres!$B$12,(O16+MAX(P16,0)+MAX(Q16+AD16,0)+R16)/U16)-Paramètres!$B$11,0)*Paramètres!$C$12+MAX(MIN(Paramètres!$B$13,(O16+MAX(P16,0)+MAX(Q16+AD16,0)+R16)/U16)-Paramètres!$B$12,0)*Paramètres!$C$13)*U16</f>
        <v>32455.933675903885</v>
      </c>
      <c r="AG16" s="108">
        <f>MAX(AE16,AF16-Paramètres!$E$13*(T16-U16)*2)+MAX(P16,0)*Paramètres!$E$9+MAX(Q16+AD16,0)*Paramètres!$E$9+MAX(R16*Paramètres!$E$12,Paramètres!$E$11)</f>
        <v>34718.441796112063</v>
      </c>
      <c r="AH16" s="150">
        <f t="shared" si="7"/>
        <v>3781.3356160532567</v>
      </c>
      <c r="AI16" s="149">
        <f t="shared" si="8"/>
        <v>6497.1402337684822</v>
      </c>
      <c r="AJ16" s="108">
        <f>(MAX(MIN(Paramètres!$B$9,(O16+MAX(P16,0)+MAX(Q16+AI16,0)+R16)/T16),0)*Paramètres!$C$9+MAX(MIN(Paramètres!$B$10,(O16+MAX(P16,0)+MAX(Q16+AI16,0)+R16)/T16)-Paramètres!$B$9,0)*Paramètres!$C$10+MAX(MIN(Paramètres!$B$11,(O16+MAX(P16,0)+MAX(Q16+AI16,0)+R16)/T16)-Paramètres!$B$10,0)*Paramètres!$C$11+MAX(MIN(Paramètres!$B$12,(O16+MAX(P16,0)+MAX(Q16+AI16,0)+R16)/T16)-Paramètres!$B$11,0)*Paramètres!$C$12+MAX(MIN(Paramètres!$B$13,(O16+MAX(P16,0)+MAX(Q16+AI16,0)+R16)/T16)-Paramètres!$B$12,0)*Paramètres!$C$13)*T16</f>
        <v>32455.933675903885</v>
      </c>
      <c r="AK16" s="108">
        <f>(MAX(MIN(Paramètres!$B$9,(O16+MAX(P16,0)+MAX(Q16+AI16,0)+R16)/U16),0)*Paramètres!$C$9+MAX(MIN(Paramètres!$B$10,(O16+MAX(P16,0)+MAX(Q16+AI16,0)+R16)/U16)-Paramètres!$B$9,0)*Paramètres!$C$10+MAX(MIN(Paramètres!$B$11,(O16+MAX(P16,0)+MAX(Q16+AI16,0)+R16)/U16)-Paramètres!$B$10,0)*Paramètres!$C$11+MAX(MIN(Paramètres!$B$12,(O16+MAX(P16,0)+MAX(Q16+AI16,0)+R16)/U16)-Paramètres!$B$11,0)*Paramètres!$C$12+MAX(MIN(Paramètres!$B$13,(O16+MAX(P16,0)+MAX(Q16+AI16,0)+R16)/U16)-Paramètres!$B$12,0)*Paramètres!$C$13)*U16</f>
        <v>32455.933675903885</v>
      </c>
      <c r="AL16" s="108">
        <f>MAX(AJ16,AK16-Paramètres!$E$13*(T16-U16)*2)+MAX(P16,0)*Paramètres!$E$9+MAX(Q16+AI16,0)*Paramètres!$E$9+MAX(R16*Paramètres!$E$12,Paramètres!$E$11)</f>
        <v>34718.441796112063</v>
      </c>
      <c r="AM16" s="150">
        <f>MAX(AL16-11%/9*Simulation!$C$7*(B16&lt;=9),0)-X16</f>
        <v>2314.6689493865924</v>
      </c>
      <c r="AN16" s="149">
        <f>MAX(MAX(C16-D16,0)-SUM(E16:H16),-MIN(SUM(O16:R16),Paramètres!$E$19+MAX(P16,0)))</f>
        <v>7271.2862614383648</v>
      </c>
      <c r="AO16" s="108">
        <f t="shared" si="18"/>
        <v>0</v>
      </c>
      <c r="AP16" s="108">
        <f>MIN(SUM($AO$8:AO16)-SUM($AR$8:AR15),0)</f>
        <v>0</v>
      </c>
      <c r="AQ16" s="108">
        <f t="shared" si="9"/>
        <v>7271.2862614383648</v>
      </c>
      <c r="AR16" s="108">
        <f t="shared" si="10"/>
        <v>0</v>
      </c>
      <c r="AS16" s="108">
        <f>(MAX(MIN(Paramètres!$B$9,(O16+P16+AQ16+MAX(Q16,0)+R16)/T16),0)*Paramètres!$C$9+MAX(MIN(Paramètres!$B$10,(O16+P16+AQ16+MAX(Q16,0)+R16)/T16)-Paramètres!$B$9,0)*Paramètres!$C$10+MAX(MIN(Paramètres!$B$11,(O16+P16+AQ16+MAX(Q16,0)+R16)/T16)-Paramètres!$B$10,0)*Paramètres!$C$11+MAX(MIN(Paramètres!$B$12,(O16+P16+AQ16+MAX(Q16,0)+R16)/T16)-Paramètres!$B$11,0)*Paramètres!$C$12+MAX(MIN(Paramètres!$B$13,(O16+P16+AQ16+MAX(Q16,0)+R16)/T16)-Paramètres!$B$12,0)*Paramètres!$C$13)*T16</f>
        <v>32773.333547248534</v>
      </c>
      <c r="AT16" s="108">
        <f>(MAX(MIN(Paramètres!$B$9,(O16+P16+AQ16+MAX(Q16,0)+R16)/U16),0)*Paramètres!$C$9+MAX(MIN(Paramètres!$B$10,(O16+P16+AQ16+MAX(Q16,0)+R16)/U16)-Paramètres!$B$9,0)*Paramètres!$C$10+MAX(MIN(Paramètres!$B$11,(O16+P16+AQ16+MAX(Q16,0)+R16)/U16)-Paramètres!$B$10,0)*Paramètres!$C$11+MAX(MIN(Paramètres!$B$12,(O16+P16+AQ16+MAX(Q16,0)+R16)/U16)-Paramètres!$B$11,0)*Paramètres!$C$12+MAX(MIN(Paramètres!$B$13,(O16+P16+AQ16+MAX(Q16,0)+R16)/U16)-Paramètres!$B$12,0)*Paramètres!$C$13)*U16</f>
        <v>32773.333547248534</v>
      </c>
      <c r="AU16" s="108">
        <f>MAX(AS16,AT16-Paramètres!$E$13*(T16-U16)*2)+MAX(P16+AQ16,0)*Paramètres!$E$9+MAX(Q16,0)*Paramètres!$E$9+MAX(R16*Paramètres!$E$12,Paramètres!$E$11)</f>
        <v>35168.994784215931</v>
      </c>
      <c r="AV16" s="150">
        <f t="shared" si="2"/>
        <v>4231.8886041571241</v>
      </c>
      <c r="AW16" s="108">
        <f t="shared" si="3"/>
        <v>9095.9963272758741</v>
      </c>
      <c r="AX16" s="108">
        <f>(MAX(MIN(Paramètres!$B$9,(O16+MAX(P16+AW16,0)+MAX(Q16,0)+R16)/T16),0)*Paramètres!$C$9+MAX(MIN(Paramètres!$B$10,(O16+MAX(P16+AW16,0)+MAX(Q16,0)+R16)/T16)-Paramètres!$B$9,0)*Paramètres!$C$10+MAX(MIN(Paramètres!$B$11,(O16+MAX(P16+AW16,0)+MAX(Q16,0)+R16)/T16)-Paramètres!$B$10,0)*Paramètres!$C$11+MAX(MIN(Paramètres!$B$12,(O16+MAX(P16+AW16,0)+MAX(Q16,0)+R16)/T16)-Paramètres!$B$11,0)*Paramètres!$C$12+MAX(MIN(Paramètres!$B$13,(O16+MAX(P16+AW16,0)+MAX(Q16,0)+R16)/T16)-Paramètres!$B$12,0)*Paramètres!$C$13)*T16</f>
        <v>33521.464674241914</v>
      </c>
      <c r="AY16" s="108">
        <f>(MAX(MIN(Paramètres!$B$9,(O16+MAX(P16+AW16,0)+MAX(Q16,0)+R16)/U16),0)*Paramètres!$C$9+MAX(MIN(Paramètres!$B$10,(O16+MAX(P16+AW16,0)+MAX(Q16,0)+R16)/U16)-Paramètres!$B$9,0)*Paramètres!$C$10+MAX(MIN(Paramètres!$B$11,(O16+MAX(P16+AW16,0)+MAX(Q16,0)+R16)/U16)-Paramètres!$B$10,0)*Paramètres!$C$11+MAX(MIN(Paramètres!$B$12,(O16+MAX(P16+AW16,0)+MAX(Q16,0)+R16)/U16)-Paramètres!$B$11,0)*Paramètres!$C$12+MAX(MIN(Paramètres!$B$13,(O16+MAX(P16+AW16,0)+MAX(Q16,0)+R16)/U16)-Paramètres!$B$12,0)*Paramètres!$C$13)*U16</f>
        <v>33521.464674241914</v>
      </c>
      <c r="AZ16" s="108">
        <f>MAX(AX16,AY16-Paramètres!$E$13*(T16-U16)*2)+MAX(P16+AW16,0)*Paramètres!$E$9+MAX(Q16,0)*Paramètres!$E$9+MAX(R16*Paramètres!$E$12,Paramètres!$E$11)</f>
        <v>36230.976042533366</v>
      </c>
      <c r="BA16" s="108">
        <f t="shared" si="4"/>
        <v>5293.8698624745593</v>
      </c>
      <c r="BB16" s="149">
        <f>MAX(MAX(C16-D16,0)-SUM(E16:H16),-MIN(SUM(O16:R16),Paramètres!$E$19+MAX(P16,0)))</f>
        <v>7271.2862614383648</v>
      </c>
      <c r="BC16" s="108">
        <f t="shared" si="20"/>
        <v>0</v>
      </c>
      <c r="BD16" s="108">
        <f>MIN(SUM($BC$8:BC16)-SUM($BF$8:BF15),0)</f>
        <v>-1.8189894035458565E-12</v>
      </c>
      <c r="BE16" s="108">
        <f t="shared" si="11"/>
        <v>7271.286261438363</v>
      </c>
      <c r="BF16" s="108">
        <f t="shared" si="12"/>
        <v>0</v>
      </c>
      <c r="BG16" s="108">
        <f>(MAX(MIN(Paramètres!$B$9,(O16+P16+BE16+MAX(Q16,0)+R16)/T16),0)*Paramètres!$C$9+MAX(MIN(Paramètres!$B$10,(O16+P16+BE16+MAX(Q16,0)+R16)/T16)-Paramètres!$B$9,0)*Paramètres!$C$10+MAX(MIN(Paramètres!$B$11,(O16+P16+BE16+MAX(Q16,0)+R16)/T16)-Paramètres!$B$10,0)*Paramètres!$C$11+MAX(MIN(Paramètres!$B$12,(O16+P16+BE16+MAX(Q16,0)+R16)/T16)-Paramètres!$B$11,0)*Paramètres!$C$12+MAX(MIN(Paramètres!$B$13,(O16+P16+BE16+MAX(Q16,0)+R16)/T16)-Paramètres!$B$12,0)*Paramètres!$C$13)*T16</f>
        <v>32773.333547248534</v>
      </c>
      <c r="BH16" s="108">
        <f>(MAX(MIN(Paramètres!$B$9,(O16+P16+BE16+MAX(Q16,0)+R16)/U16),0)*Paramètres!$C$9+MAX(MIN(Paramètres!$B$10,(O16+P16+BE16+MAX(Q16,0)+R16)/U16)-Paramètres!$B$9,0)*Paramètres!$C$10+MAX(MIN(Paramètres!$B$11,(O16+P16+BE16+MAX(Q16,0)+R16)/U16)-Paramètres!$B$10,0)*Paramètres!$C$11+MAX(MIN(Paramètres!$B$12,(O16+P16+BE16+MAX(Q16,0)+R16)/U16)-Paramètres!$B$11,0)*Paramètres!$C$12+MAX(MIN(Paramètres!$B$13,(O16+P16+BE16+MAX(Q16,0)+R16)/U16)-Paramètres!$B$12,0)*Paramètres!$C$13)*U16</f>
        <v>32773.333547248534</v>
      </c>
      <c r="BI16" s="108">
        <f>MAX(BG16,BH16-Paramètres!$E$13*(T16-U16)*2)+MAX(P16+BE16,0)*Paramètres!$E$9+MAX(Q16,0)*Paramètres!$E$9+MAX(R16*Paramètres!$E$12,Paramètres!$E$11)</f>
        <v>35168.994784215931</v>
      </c>
      <c r="BJ16" s="150">
        <f>MAX(BI16-IFERROR(VLOOKUP(B16,Paramètres!$B$28:$C$39,2,FALSE),0)*MIN(MIN((Simulation!$C$7+Simulation!$C$12+Simulation!$C$8+Simulation!$C$10)/Simulation!$C$28,Paramètres!$C$26)*Simulation!$C$28,Paramètres!$C$25),0)-X16</f>
        <v>1630.8886041571241</v>
      </c>
      <c r="BK16" s="108">
        <f t="shared" si="13"/>
        <v>9095.9963272758741</v>
      </c>
      <c r="BL16" s="108">
        <f>(MAX(MIN(Paramètres!$B$9,(O16+MAX(P16+BK16,0)+MAX(Q16,0)+R16)/T16),0)*Paramètres!$C$9+MAX(MIN(Paramètres!$B$10,(O16+MAX(P16+BK16,0)+MAX(Q16,0)+R16)/T16)-Paramètres!$B$9,0)*Paramètres!$C$10+MAX(MIN(Paramètres!$B$11,(O16+MAX(P16+BK16,0)+MAX(Q16,0)+R16)/T16)-Paramètres!$B$10,0)*Paramètres!$C$11+MAX(MIN(Paramètres!$B$12,(O16+MAX(P16+BK16,0)+MAX(Q16,0)+R16)/T16)-Paramètres!$B$11,0)*Paramètres!$C$12+MAX(MIN(Paramètres!$B$13,(O16+MAX(P16+BK16,0)+MAX(Q16,0)+R16)/T16)-Paramètres!$B$12,0)*Paramètres!$C$13)*T16</f>
        <v>33521.464674241914</v>
      </c>
      <c r="BM16" s="108">
        <f>(MAX(MIN(Paramètres!$B$9,(O16+MAX(P16+BK16,0)+MAX(Q16,0)+R16)/U16),0)*Paramètres!$C$9+MAX(MIN(Paramètres!$B$10,(O16+MAX(P16+BK16,0)+MAX(Q16,0)+R16)/U16)-Paramètres!$B$9,0)*Paramètres!$C$10+MAX(MIN(Paramètres!$B$11,(O16+MAX(P16+BK16,0)+MAX(Q16,0)+R16)/U16)-Paramètres!$B$10,0)*Paramètres!$C$11+MAX(MIN(Paramètres!$B$12,(O16+MAX(P16+BK16,0)+MAX(Q16,0)+R16)/U16)-Paramètres!$B$11,0)*Paramètres!$C$12+MAX(MIN(Paramètres!$B$13,(O16+MAX(P16+BK16,0)+MAX(Q16,0)+R16)/U16)-Paramètres!$B$12,0)*Paramètres!$C$13)*U16</f>
        <v>33521.464674241914</v>
      </c>
      <c r="BN16" s="108">
        <f>MAX(BL16,BM16-Paramètres!$E$13*(T16-U16)*2)+MAX(P16+BK16,0)*Paramètres!$E$9+MAX(Q16,0)*Paramètres!$E$9+MAX(R16*Paramètres!$E$12,Paramètres!$E$11)</f>
        <v>36230.976042533366</v>
      </c>
      <c r="BO16" s="108">
        <f>MAX(BN16-IFERROR(VLOOKUP(B16,Paramètres!$B$28:$C$39,2,FALSE),0)*MIN(MIN((Simulation!$C$7+Simulation!$C$12+Simulation!$C$8+Simulation!$C$10)/Simulation!$C$28,Paramètres!$C$26)*Simulation!$C$28,Paramètres!$C$25),0)-X16</f>
        <v>2692.8698624745593</v>
      </c>
      <c r="BP16" s="126">
        <f t="shared" si="14"/>
        <v>2423.2862614383666</v>
      </c>
      <c r="BQ16" s="108">
        <f t="shared" si="15"/>
        <v>0</v>
      </c>
      <c r="BR16" s="108">
        <f t="shared" si="21"/>
        <v>0</v>
      </c>
      <c r="BS16" s="108">
        <f t="shared" si="19"/>
        <v>2423.2862614383666</v>
      </c>
      <c r="BT16" s="108">
        <f t="shared" si="16"/>
        <v>0</v>
      </c>
      <c r="BU16" s="108">
        <f>(MAX(MIN(Paramètres!$B$9,(O16+MAX(P16,0)+MAX(Q16,0)+R16+BS16)/T16),0)*Paramètres!$C$9+MAX(MIN(Paramètres!$B$10,(O16+MAX(P16,0)+MAX(Q16,0)+R16+BS16)/T16)-Paramètres!$B$9,0)*Paramètres!$C$10+MAX(MIN(Paramètres!$B$11,(O16+MAX(P16,0)+MAX(Q16,0)+R16+BS16)/T16)-Paramètres!$B$10,0)*Paramètres!$C$11+MAX(MIN(Paramètres!$B$12,(O16+MAX(P16,0)+MAX(Q16,0)+R16+BS16)/T16)-Paramètres!$B$11,0)*Paramètres!$C$12+MAX(MIN(Paramètres!$B$13,(O16+MAX(P16,0)+MAX(Q16,0)+R16+BS16)/T16)-Paramètres!$B$12,0)*Paramètres!$C$13)*T16</f>
        <v>30785.653547248534</v>
      </c>
      <c r="BV16" s="108">
        <f>(MAX(MIN(Paramètres!$B$9,(O16+MAX(P16,0)+MAX(Q16,0)+R16+BS16)/U16),0)*Paramètres!$C$9+MAX(MIN(Paramètres!$B$10,(O16+MAX(P16,0)+MAX(Q16,0)+R16+BS16)/U16)-Paramètres!$B$9,0)*Paramètres!$C$10+MAX(MIN(Paramètres!$B$11,(O16+MAX(P16,0)+MAX(Q16,0)+R16+BS16)/U16)-Paramètres!$B$10,0)*Paramètres!$C$11+MAX(MIN(Paramètres!$B$12,(O16+MAX(P16,0)+MAX(Q16,0)+R16+BS16)/U16)-Paramètres!$B$11,0)*Paramètres!$C$12+MAX(MIN(Paramètres!$B$13,(O16+MAX(P16,0)+MAX(Q16,0)+R16+BS16)/U16)-Paramètres!$B$12,0)*Paramètres!$C$13)*U16</f>
        <v>30785.653547248534</v>
      </c>
      <c r="BW16" s="108">
        <f>MAX(BU16,BV16-Paramètres!$E$13*(T16-U16)*2)+MAX(P16,0)*Paramètres!$E$9+MAX(Q16,0)*Paramètres!$E$9+MAX((R16+BS16)*Paramètres!$E$12,Paramètres!$E$11)</f>
        <v>31930.653547248534</v>
      </c>
      <c r="BX16" s="108">
        <f t="shared" si="17"/>
        <v>993.54736718972708</v>
      </c>
      <c r="BY16" s="149">
        <f>(C16-SUM(D16:N16)+MIN(BY15,0))*(B16&lt;=Simulation!$F$24)</f>
        <v>-12095.327903781128</v>
      </c>
      <c r="BZ16" s="108">
        <f>(Simulation!$F$22-(Simulation!$C$13-SUM($I$8:$N$37)))*(B16=Simulation!$F$24)</f>
        <v>0</v>
      </c>
      <c r="CA16" s="108">
        <f>MAX(MIN(BY16+BZ16,Paramètres!$B$17)*Paramètres!$C$17+MAX(MIN(BY16+BZ16,Paramètres!$B$18)-Paramètres!$B$17,0)*Paramètres!$C$18+MAX(MIN(BY16+BZ16,Paramètres!$B$19)-Paramètres!$B$18,0)*Paramètres!$C$19,0)</f>
        <v>0</v>
      </c>
      <c r="CB16" s="150">
        <f>MAX(MIN(BY16,Paramètres!$B$17)*Paramètres!$C$17+MAX(MIN(BY16,Paramètres!$B$18)-Paramètres!$B$17,0)*Paramètres!$C$18+MAX(MIN(BY16,Paramètres!$B$19)-Paramètres!$B$18,0)*Paramètres!$C$19,0)</f>
        <v>0</v>
      </c>
      <c r="CC16" s="108">
        <f>(C16-SUM(D16:N16)+MIN(CC15,0))*(B16&lt;=Simulation!$F$24)</f>
        <v>-12095.327903781128</v>
      </c>
      <c r="CD16" s="108">
        <f>(Simulation!$F$22-(Simulation!$C$13-SUM($I$8:$N$37)))*(B16=Simulation!$F$24)</f>
        <v>0</v>
      </c>
      <c r="CE16" s="108">
        <f>MAX(MIN(CC16+CD16,Paramètres!$B$17)*Paramètres!$C$17+MAX(MIN(CC16+CD16,Paramètres!$B$18)-Paramètres!$B$17,0)*Paramètres!$C$18+MAX(MIN(CC16+CD16,Paramètres!$B$19)-Paramètres!$B$18,0)*Paramètres!$C$19,0)</f>
        <v>0</v>
      </c>
      <c r="CF16" s="108">
        <f>MAX(MIN(CC16,Paramètres!$B$17)*Paramètres!$C$17+MAX(MIN(CC16,Paramètres!$B$18)-Paramètres!$B$17,0)*Paramètres!$C$18+MAX(MIN(CC16,Paramètres!$B$19)-Paramètres!$B$18,0)*Paramètres!$C$19,0)</f>
        <v>0</v>
      </c>
      <c r="CG16" s="108">
        <f>MAX(CC16+CD16-CF16,0)*(1-Paramètres!$E$17)*Paramètres!$E$18</f>
        <v>0</v>
      </c>
      <c r="CH16" s="54">
        <f>MAX(CC16-CF16,0)*(1-Paramètres!$E$17)*Paramètres!$E$18</f>
        <v>0</v>
      </c>
      <c r="CI16" s="127">
        <f ca="1">OFFSET($AC16,0,VLOOKUP(Simulation!$C$27,Simulation!$Q$5:$R$14,2,FALSE))</f>
        <v>0</v>
      </c>
      <c r="CK16" s="167"/>
      <c r="CL16" s="167"/>
      <c r="CM16" s="167"/>
      <c r="CN16" s="167"/>
      <c r="CO16" s="167"/>
      <c r="CP16" s="167"/>
      <c r="CQ16" s="167"/>
      <c r="CR16" s="167"/>
      <c r="CS16" s="167"/>
      <c r="CT16" s="167"/>
      <c r="CU16" s="167"/>
      <c r="CV16" s="167"/>
    </row>
    <row r="17" spans="2:100" x14ac:dyDescent="0.2">
      <c r="B17" s="40">
        <f t="shared" si="0"/>
        <v>10</v>
      </c>
      <c r="C17" s="143">
        <f>SUMPRODUCT('Détail trésorerie'!$H$8:$H$367*('Détail trésorerie'!$B$8:$B$367&gt;$B16*12)*('Détail trésorerie'!$B$8:$B$367&lt;=$B17*12))</f>
        <v>13124.223272212332</v>
      </c>
      <c r="D17" s="143">
        <f>SUMPRODUCT('Détail trésorerie'!$E$8:$E$367*('Détail trésorerie'!$B$8:$B$367&gt;$B16*12)*('Détail trésorerie'!$B$8:$B$367&lt;=$B17*12))</f>
        <v>1509.9298498334645</v>
      </c>
      <c r="E17" s="144">
        <f>SUMPRODUCT('Détail trésorerie'!$J$8:$J$367*('Détail trésorerie'!$B$8:$B$367&gt;$B16*12)*('Détail trésorerie'!$B$8:$B$367&lt;=$B17*12))</f>
        <v>1640.5279090265415</v>
      </c>
      <c r="F17" s="144">
        <f>SUMPRODUCT('Détail trésorerie'!$K$8:$K$367*('Détail trésorerie'!$B$8:$B$367&gt;$B16*12)*('Détail trésorerie'!$B$8:$B$367&lt;=$B17*12))</f>
        <v>1356.1697381286078</v>
      </c>
      <c r="G17" s="144">
        <f>SUMPRODUCT('Détail trésorerie'!$L$8:$L$367*('Détail trésorerie'!$B$8:$B$367&gt;$B16*12)*('Détail trésorerie'!$B$8:$B$367&lt;=$B17*12))</f>
        <v>656.21116361061661</v>
      </c>
      <c r="H17" s="145">
        <f>SUMPRODUCT('Détail trésorerie'!$M$8:$M$367*('Détail trésorerie'!$B$8:$B$367&gt;$B16*12)*('Détail trésorerie'!$B$8:$B$367&lt;=$B17*12))</f>
        <v>466.16852726843609</v>
      </c>
      <c r="I17" s="126">
        <f>MAX(MIN(Paramètres!$E$3*Simulation!$C$7*Paramètres!$C$3,Simulation!$C$7*Paramètres!$E$3-SUM(I$8:$I16)),0)*(B17&lt;=Simulation!$F$24)</f>
        <v>0</v>
      </c>
      <c r="J17" s="108">
        <f>MAX(MIN(Paramètres!$E$4*Simulation!$C$7*Paramètres!$C$4,Simulation!$C$7*Paramètres!$E$4-SUM($J$8:J16)),0)*(B17&lt;=Simulation!$F$24)</f>
        <v>2700</v>
      </c>
      <c r="K17" s="108">
        <f>MAX(MIN(Paramètres!$E$5*Simulation!$C$8*Paramètres!$C$5,Paramètres!$E$5*Simulation!$C$8-SUM($K$8:K16)),0)*(B17&lt;=Simulation!$F$24)</f>
        <v>2148</v>
      </c>
      <c r="L17" s="108">
        <v>0</v>
      </c>
      <c r="M17" s="108">
        <v>0</v>
      </c>
      <c r="N17" s="108">
        <f>MAX(MIN(Paramètres!$C$6*(Simulation!$C$10+Simulation!$C$11+Simulation!$C$12),(Simulation!$C$10+Simulation!$C$11+Simulation!$C$12)-SUM(N$8:N16)),0)*(B17&lt;=Simulation!$F$24)</f>
        <v>0</v>
      </c>
      <c r="O17" s="148">
        <f>25000*8/2*(1+Emprunteur!$F$7)^$B17</f>
        <v>110462.21254112048</v>
      </c>
      <c r="P17" s="165">
        <f>0*(1+Emprunteur!$F$8)^$B17</f>
        <v>0</v>
      </c>
      <c r="Q17" s="165">
        <f>0*(1+Emprunteur!$F$9)^$B17</f>
        <v>0</v>
      </c>
      <c r="R17" s="165">
        <f>0*(1+Emprunteur!$F$10)^$B17</f>
        <v>0</v>
      </c>
      <c r="S17" s="108">
        <f t="shared" si="5"/>
        <v>110462.21254112048</v>
      </c>
      <c r="T17" s="157">
        <v>1</v>
      </c>
      <c r="U17" s="157">
        <v>1</v>
      </c>
      <c r="V17" s="108">
        <f>(MAX(MIN(Paramètres!$B$9,S17/T17),0)*Paramètres!$C$9+MAX(MIN(Paramètres!$B$10,S17/T17)-Paramètres!$B$9,0)*Paramètres!$C$10+MAX(MIN(Paramètres!$B$11,S17/T17)-Paramètres!$B$10,0)*Paramètres!$C$11+MAX(MIN(Paramètres!$B$12,S17/T17)-Paramètres!$B$11,0)*Paramètres!$C$12+MAX(MIN(Paramètres!$B$13,S17/T17)-Paramètres!$B$12,0)*Paramètres!$C$13)*T17</f>
        <v>30240.517141859393</v>
      </c>
      <c r="W17" s="108">
        <f>(MAX(MIN(Paramètres!$B$9,S17/U17),0)*Paramètres!$C$9+MAX(MIN(Paramètres!$B$10,S17/U17)-Paramètres!$B$9,0)*Paramètres!$C$10+MAX(MIN(Paramètres!$B$11,S17/U17)-Paramètres!$B$10,0)*Paramètres!$C$11+MAX(MIN(Paramètres!$B$12,S17/U17)-Paramètres!$B$11,0)*Paramètres!$C$12+MAX(MIN(Paramètres!$B$13,S17/U17)-Paramètres!$B$12,0)*Paramètres!$C$13)*U17</f>
        <v>30240.517141859393</v>
      </c>
      <c r="X17" s="108">
        <f>MAX(V17,W17-Paramètres!$E$13*(T17-U17)*2)+MAX(P17,0)*Paramètres!$E$9+MAX(Q17,0)*Paramètres!$E$9+MAX(R17*Paramètres!$E$12,Paramètres!$E$11)</f>
        <v>31385.517141859393</v>
      </c>
      <c r="Y17" s="126">
        <f>(C17-SUM(D17:N17)+MIN(Y16,0))*(B17&lt;=Simulation!$F$24)</f>
        <v>-9448.1118194364626</v>
      </c>
      <c r="Z17" s="108">
        <f>(MAX(MIN(Paramètres!$B$9,(O17+MAX(P17,0)+MAX(Q17+Y17,0)+R17)/T17),0)*Paramètres!$C$9+MAX(MIN(Paramètres!$B$10,(O17+MAX(P17,0)+MAX(Q17+Y17,0)+R17)/T17)-Paramètres!$B$9,0)*Paramètres!$C$10+MAX(MIN(Paramètres!$B$11,(O17+MAX(P17,0)+MAX(Q17+Y17,0)+R17)/T17)-Paramètres!$B$10,0)*Paramètres!$C$11+MAX(MIN(Paramètres!$B$12,(O17+MAX(P17,0)+MAX(Q17+Y17,0)+R17)/T17)-Paramètres!$B$11,0)*Paramètres!$C$12+MAX(MIN(Paramètres!$B$13,(O17+MAX(P17,0)+MAX(Q17+Y17,0)+R17)/T17)-Paramètres!$B$12,0)*Paramètres!$C$13)*T17</f>
        <v>30240.517141859393</v>
      </c>
      <c r="AA17" s="108">
        <f>(MAX(MIN(Paramètres!$B$9,(O17+MAX(P17,0)+MAX(Q17+Y17,0)+R17)/U17),0)*Paramètres!$C$9+MAX(MIN(Paramètres!$B$10,(O17+MAX(P17,0)+MAX(Q17+Y17,0)+R17)/U17)-Paramètres!$B$9,0)*Paramètres!$C$10+MAX(MIN(Paramètres!$B$11,(O17+MAX(P17,0)+MAX(Q17+Y17,0)+R17)/U17)-Paramètres!$B$10,0)*Paramètres!$C$11+MAX(MIN(Paramètres!$B$12,(O17+MAX(P17,0)+MAX(Q17+Y17,0)+R17)/U17)-Paramètres!$B$11,0)*Paramètres!$C$12+MAX(MIN(Paramètres!$B$13,(O17+MAX(P17,0)+MAX(Q17+Y17,0)+R17)/U17)-Paramètres!$B$12,0)*Paramètres!$C$13)*U17</f>
        <v>30240.517141859393</v>
      </c>
      <c r="AB17" s="108">
        <f>MAX(Z17,AA17-Paramètres!$E$13*(T17-U17)*2)+MAX(P17,0)*Paramètres!$E$9+MAX(Q17+Y17,0)*Paramètres!$E$9+MAX(R17*Paramètres!$E$12,Paramètres!$E$11)</f>
        <v>31385.517141859393</v>
      </c>
      <c r="AC17" s="108">
        <f t="shared" si="6"/>
        <v>0</v>
      </c>
      <c r="AD17" s="149">
        <f t="shared" si="1"/>
        <v>6562.1116361061659</v>
      </c>
      <c r="AE17" s="108">
        <f>(MAX(MIN(Paramètres!$B$9,(O17+MAX(P17,0)+MAX(Q17+AD17,0)+R17)/T17),0)*Paramètres!$C$9+MAX(MIN(Paramètres!$B$10,(O17+MAX(P17,0)+MAX(Q17+AD17,0)+R17)/T17)-Paramètres!$B$9,0)*Paramètres!$C$10+MAX(MIN(Paramètres!$B$11,(O17+MAX(P17,0)+MAX(Q17+AD17,0)+R17)/T17)-Paramètres!$B$10,0)*Paramètres!$C$11+MAX(MIN(Paramètres!$B$12,(O17+MAX(P17,0)+MAX(Q17+AD17,0)+R17)/T17)-Paramètres!$B$11,0)*Paramètres!$C$12+MAX(MIN(Paramètres!$B$13,(O17+MAX(P17,0)+MAX(Q17+AD17,0)+R17)/T17)-Paramètres!$B$12,0)*Paramètres!$C$13)*T17</f>
        <v>32930.982912662927</v>
      </c>
      <c r="AF17" s="108">
        <f>(MAX(MIN(Paramètres!$B$9,(O17+MAX(P17,0)+MAX(Q17+AD17,0)+R17)/U17),0)*Paramètres!$C$9+MAX(MIN(Paramètres!$B$10,(O17+MAX(P17,0)+MAX(Q17+AD17,0)+R17)/U17)-Paramètres!$B$9,0)*Paramètres!$C$10+MAX(MIN(Paramètres!$B$11,(O17+MAX(P17,0)+MAX(Q17+AD17,0)+R17)/U17)-Paramètres!$B$10,0)*Paramètres!$C$11+MAX(MIN(Paramètres!$B$12,(O17+MAX(P17,0)+MAX(Q17+AD17,0)+R17)/U17)-Paramètres!$B$11,0)*Paramètres!$C$12+MAX(MIN(Paramètres!$B$13,(O17+MAX(P17,0)+MAX(Q17+AD17,0)+R17)/U17)-Paramètres!$B$12,0)*Paramètres!$C$13)*U17</f>
        <v>32930.982912662927</v>
      </c>
      <c r="AG17" s="108">
        <f>MAX(AE17,AF17-Paramètres!$E$13*(T17-U17)*2)+MAX(P17,0)*Paramètres!$E$9+MAX(Q17+AD17,0)*Paramètres!$E$9+MAX(R17*Paramètres!$E$12,Paramètres!$E$11)</f>
        <v>35204.666114073189</v>
      </c>
      <c r="AH17" s="150">
        <f t="shared" si="7"/>
        <v>3819.1489722137958</v>
      </c>
      <c r="AI17" s="149">
        <f t="shared" si="8"/>
        <v>6562.1116361061659</v>
      </c>
      <c r="AJ17" s="108">
        <f>(MAX(MIN(Paramètres!$B$9,(O17+MAX(P17,0)+MAX(Q17+AI17,0)+R17)/T17),0)*Paramètres!$C$9+MAX(MIN(Paramètres!$B$10,(O17+MAX(P17,0)+MAX(Q17+AI17,0)+R17)/T17)-Paramètres!$B$9,0)*Paramètres!$C$10+MAX(MIN(Paramètres!$B$11,(O17+MAX(P17,0)+MAX(Q17+AI17,0)+R17)/T17)-Paramètres!$B$10,0)*Paramètres!$C$11+MAX(MIN(Paramètres!$B$12,(O17+MAX(P17,0)+MAX(Q17+AI17,0)+R17)/T17)-Paramètres!$B$11,0)*Paramètres!$C$12+MAX(MIN(Paramètres!$B$13,(O17+MAX(P17,0)+MAX(Q17+AI17,0)+R17)/T17)-Paramètres!$B$12,0)*Paramètres!$C$13)*T17</f>
        <v>32930.982912662927</v>
      </c>
      <c r="AK17" s="108">
        <f>(MAX(MIN(Paramètres!$B$9,(O17+MAX(P17,0)+MAX(Q17+AI17,0)+R17)/U17),0)*Paramètres!$C$9+MAX(MIN(Paramètres!$B$10,(O17+MAX(P17,0)+MAX(Q17+AI17,0)+R17)/U17)-Paramètres!$B$9,0)*Paramètres!$C$10+MAX(MIN(Paramètres!$B$11,(O17+MAX(P17,0)+MAX(Q17+AI17,0)+R17)/U17)-Paramètres!$B$10,0)*Paramètres!$C$11+MAX(MIN(Paramètres!$B$12,(O17+MAX(P17,0)+MAX(Q17+AI17,0)+R17)/U17)-Paramètres!$B$11,0)*Paramètres!$C$12+MAX(MIN(Paramètres!$B$13,(O17+MAX(P17,0)+MAX(Q17+AI17,0)+R17)/U17)-Paramètres!$B$12,0)*Paramètres!$C$13)*U17</f>
        <v>32930.982912662927</v>
      </c>
      <c r="AL17" s="108">
        <f>MAX(AJ17,AK17-Paramètres!$E$13*(T17-U17)*2)+MAX(P17,0)*Paramètres!$E$9+MAX(Q17+AI17,0)*Paramètres!$E$9+MAX(R17*Paramètres!$E$12,Paramètres!$E$11)</f>
        <v>35204.666114073189</v>
      </c>
      <c r="AM17" s="150">
        <f>MAX(AL17-11%/9*Simulation!$C$7*(B17&lt;=9),0)-X17</f>
        <v>3819.1489722137958</v>
      </c>
      <c r="AN17" s="149">
        <f>MAX(MAX(C17-D17,0)-SUM(E17:H17),-MIN(SUM(O17:R17),Paramètres!$E$19+MAX(P17,0)))</f>
        <v>7495.2160843446654</v>
      </c>
      <c r="AO17" s="108">
        <f t="shared" si="18"/>
        <v>0</v>
      </c>
      <c r="AP17" s="108">
        <f>MIN(SUM(AO8:AO17)-SUM(AR8:AR16),0)</f>
        <v>0</v>
      </c>
      <c r="AQ17" s="108">
        <f t="shared" si="9"/>
        <v>7495.2160843446654</v>
      </c>
      <c r="AR17" s="108">
        <f t="shared" si="10"/>
        <v>0</v>
      </c>
      <c r="AS17" s="108">
        <f>(MAX(MIN(Paramètres!$B$9,(O17+P17+AQ17+MAX(Q17,0)+R17)/T17),0)*Paramètres!$C$9+MAX(MIN(Paramètres!$B$10,(O17+P17+AQ17+MAX(Q17,0)+R17)/T17)-Paramètres!$B$9,0)*Paramètres!$C$10+MAX(MIN(Paramètres!$B$11,(O17+P17+AQ17+MAX(Q17,0)+R17)/T17)-Paramètres!$B$10,0)*Paramètres!$C$11+MAX(MIN(Paramètres!$B$12,(O17+P17+AQ17+MAX(Q17,0)+R17)/T17)-Paramètres!$B$11,0)*Paramètres!$C$12+MAX(MIN(Paramètres!$B$13,(O17+P17+AQ17+MAX(Q17,0)+R17)/T17)-Paramètres!$B$12,0)*Paramètres!$C$13)*T17</f>
        <v>33313.555736440707</v>
      </c>
      <c r="AT17" s="108">
        <f>(MAX(MIN(Paramètres!$B$9,(O17+P17+AQ17+MAX(Q17,0)+R17)/U17),0)*Paramètres!$C$9+MAX(MIN(Paramètres!$B$10,(O17+P17+AQ17+MAX(Q17,0)+R17)/U17)-Paramètres!$B$9,0)*Paramètres!$C$10+MAX(MIN(Paramètres!$B$11,(O17+P17+AQ17+MAX(Q17,0)+R17)/U17)-Paramètres!$B$10,0)*Paramètres!$C$11+MAX(MIN(Paramètres!$B$12,(O17+P17+AQ17+MAX(Q17,0)+R17)/U17)-Paramètres!$B$11,0)*Paramètres!$C$12+MAX(MIN(Paramètres!$B$13,(O17+P17+AQ17+MAX(Q17,0)+R17)/U17)-Paramètres!$B$12,0)*Paramètres!$C$13)*U17</f>
        <v>33313.555736440707</v>
      </c>
      <c r="AU17" s="108">
        <f>MAX(AS17,AT17-Paramètres!$E$13*(T17-U17)*2)+MAX(P17+AQ17,0)*Paramètres!$E$9+MAX(Q17,0)*Paramètres!$E$9+MAX(R17*Paramètres!$E$12,Paramètres!$E$11)</f>
        <v>35747.732902947988</v>
      </c>
      <c r="AV17" s="150">
        <f t="shared" si="2"/>
        <v>4362.2157610885952</v>
      </c>
      <c r="AW17" s="108">
        <f t="shared" si="3"/>
        <v>9186.9562905486309</v>
      </c>
      <c r="AX17" s="108">
        <f>(MAX(MIN(Paramètres!$B$9,(O17+MAX(P17+AW17,0)+MAX(Q17,0)+R17)/T17),0)*Paramètres!$C$9+MAX(MIN(Paramètres!$B$10,(O17+MAX(P17+AW17,0)+MAX(Q17,0)+R17)/T17)-Paramètres!$B$9,0)*Paramètres!$C$10+MAX(MIN(Paramètres!$B$11,(O17+MAX(P17+AW17,0)+MAX(Q17,0)+R17)/T17)-Paramètres!$B$10,0)*Paramètres!$C$11+MAX(MIN(Paramètres!$B$12,(O17+MAX(P17+AW17,0)+MAX(Q17,0)+R17)/T17)-Paramètres!$B$11,0)*Paramètres!$C$12+MAX(MIN(Paramètres!$B$13,(O17+MAX(P17+AW17,0)+MAX(Q17,0)+R17)/T17)-Paramètres!$B$12,0)*Paramètres!$C$13)*T17</f>
        <v>34007.169220984331</v>
      </c>
      <c r="AY17" s="108">
        <f>(MAX(MIN(Paramètres!$B$9,(O17+MAX(P17+AW17,0)+MAX(Q17,0)+R17)/U17),0)*Paramètres!$C$9+MAX(MIN(Paramètres!$B$10,(O17+MAX(P17+AW17,0)+MAX(Q17,0)+R17)/U17)-Paramètres!$B$9,0)*Paramètres!$C$10+MAX(MIN(Paramètres!$B$11,(O17+MAX(P17+AW17,0)+MAX(Q17,0)+R17)/U17)-Paramètres!$B$10,0)*Paramètres!$C$11+MAX(MIN(Paramètres!$B$12,(O17+MAX(P17+AW17,0)+MAX(Q17,0)+R17)/U17)-Paramètres!$B$11,0)*Paramètres!$C$12+MAX(MIN(Paramètres!$B$13,(O17+MAX(P17+AW17,0)+MAX(Q17,0)+R17)/U17)-Paramètres!$B$12,0)*Paramètres!$C$13)*U17</f>
        <v>34007.169220984331</v>
      </c>
      <c r="AZ17" s="108">
        <f>MAX(AX17,AY17-Paramètres!$E$13*(T17-U17)*2)+MAX(P17+AW17,0)*Paramètres!$E$9+MAX(Q17,0)*Paramètres!$E$9+MAX(R17*Paramètres!$E$12,Paramètres!$E$11)</f>
        <v>36732.325702958697</v>
      </c>
      <c r="BA17" s="108">
        <f t="shared" si="4"/>
        <v>5346.8085610993039</v>
      </c>
      <c r="BB17" s="149">
        <f>MAX(MAX(C17-D17,0)-SUM(E17:H17),-MIN(SUM(O17:R17),Paramètres!$E$19+MAX(P17,0)))</f>
        <v>7495.2160843446654</v>
      </c>
      <c r="BC17" s="108">
        <f t="shared" si="20"/>
        <v>0</v>
      </c>
      <c r="BD17" s="108">
        <f>MIN(SUM(BC8:BC17)-SUM(BF8:BF16),0)</f>
        <v>-1.8189894035458565E-12</v>
      </c>
      <c r="BE17" s="108">
        <f t="shared" si="11"/>
        <v>7495.2160843446636</v>
      </c>
      <c r="BF17" s="108">
        <f t="shared" si="12"/>
        <v>0</v>
      </c>
      <c r="BG17" s="108">
        <f>(MAX(MIN(Paramètres!$B$9,(O17+P17+BE17+MAX(Q17,0)+R17)/T17),0)*Paramètres!$C$9+MAX(MIN(Paramètres!$B$10,(O17+P17+BE17+MAX(Q17,0)+R17)/T17)-Paramètres!$B$9,0)*Paramètres!$C$10+MAX(MIN(Paramètres!$B$11,(O17+P17+BE17+MAX(Q17,0)+R17)/T17)-Paramètres!$B$10,0)*Paramètres!$C$11+MAX(MIN(Paramètres!$B$12,(O17+P17+BE17+MAX(Q17,0)+R17)/T17)-Paramètres!$B$11,0)*Paramètres!$C$12+MAX(MIN(Paramètres!$B$13,(O17+P17+BE17+MAX(Q17,0)+R17)/T17)-Paramètres!$B$12,0)*Paramètres!$C$13)*T17</f>
        <v>33313.555736440707</v>
      </c>
      <c r="BH17" s="108">
        <f>(MAX(MIN(Paramètres!$B$9,(O17+P17+BE17+MAX(Q17,0)+R17)/U17),0)*Paramètres!$C$9+MAX(MIN(Paramètres!$B$10,(O17+P17+BE17+MAX(Q17,0)+R17)/U17)-Paramètres!$B$9,0)*Paramètres!$C$10+MAX(MIN(Paramètres!$B$11,(O17+P17+BE17+MAX(Q17,0)+R17)/U17)-Paramètres!$B$10,0)*Paramètres!$C$11+MAX(MIN(Paramètres!$B$12,(O17+P17+BE17+MAX(Q17,0)+R17)/U17)-Paramètres!$B$11,0)*Paramètres!$C$12+MAX(MIN(Paramètres!$B$13,(O17+P17+BE17+MAX(Q17,0)+R17)/U17)-Paramètres!$B$12,0)*Paramètres!$C$13)*U17</f>
        <v>33313.555736440707</v>
      </c>
      <c r="BI17" s="108">
        <f>MAX(BG17,BH17-Paramètres!$E$13*(T17-U17)*2)+MAX(P17+BE17,0)*Paramètres!$E$9+MAX(Q17,0)*Paramètres!$E$9+MAX(R17*Paramètres!$E$12,Paramètres!$E$11)</f>
        <v>35747.732902947988</v>
      </c>
      <c r="BJ17" s="150">
        <f>MAX(BI17-IFERROR(VLOOKUP(B17,Paramètres!$B$28:$C$39,2,FALSE),0)*MIN(MIN((Simulation!$C$7+Simulation!$C$12+Simulation!$C$8+Simulation!$C$10)/Simulation!$C$28,Paramètres!$C$26)*Simulation!$C$28,Paramètres!$C$25),0)-X17</f>
        <v>2917.2157610885952</v>
      </c>
      <c r="BK17" s="108">
        <f t="shared" si="13"/>
        <v>9186.9562905486309</v>
      </c>
      <c r="BL17" s="108">
        <f>(MAX(MIN(Paramètres!$B$9,(O17+MAX(P17+BK17,0)+MAX(Q17,0)+R17)/T17),0)*Paramètres!$C$9+MAX(MIN(Paramètres!$B$10,(O17+MAX(P17+BK17,0)+MAX(Q17,0)+R17)/T17)-Paramètres!$B$9,0)*Paramètres!$C$10+MAX(MIN(Paramètres!$B$11,(O17+MAX(P17+BK17,0)+MAX(Q17,0)+R17)/T17)-Paramètres!$B$10,0)*Paramètres!$C$11+MAX(MIN(Paramètres!$B$12,(O17+MAX(P17+BK17,0)+MAX(Q17,0)+R17)/T17)-Paramètres!$B$11,0)*Paramètres!$C$12+MAX(MIN(Paramètres!$B$13,(O17+MAX(P17+BK17,0)+MAX(Q17,0)+R17)/T17)-Paramètres!$B$12,0)*Paramètres!$C$13)*T17</f>
        <v>34007.169220984331</v>
      </c>
      <c r="BM17" s="108">
        <f>(MAX(MIN(Paramètres!$B$9,(O17+MAX(P17+BK17,0)+MAX(Q17,0)+R17)/U17),0)*Paramètres!$C$9+MAX(MIN(Paramètres!$B$10,(O17+MAX(P17+BK17,0)+MAX(Q17,0)+R17)/U17)-Paramètres!$B$9,0)*Paramètres!$C$10+MAX(MIN(Paramètres!$B$11,(O17+MAX(P17+BK17,0)+MAX(Q17,0)+R17)/U17)-Paramètres!$B$10,0)*Paramètres!$C$11+MAX(MIN(Paramètres!$B$12,(O17+MAX(P17+BK17,0)+MAX(Q17,0)+R17)/U17)-Paramètres!$B$11,0)*Paramètres!$C$12+MAX(MIN(Paramètres!$B$13,(O17+MAX(P17+BK17,0)+MAX(Q17,0)+R17)/U17)-Paramètres!$B$12,0)*Paramètres!$C$13)*U17</f>
        <v>34007.169220984331</v>
      </c>
      <c r="BN17" s="108">
        <f>MAX(BL17,BM17-Paramètres!$E$13*(T17-U17)*2)+MAX(P17+BK17,0)*Paramètres!$E$9+MAX(Q17,0)*Paramètres!$E$9+MAX(R17*Paramètres!$E$12,Paramètres!$E$11)</f>
        <v>36732.325702958697</v>
      </c>
      <c r="BO17" s="108">
        <f>MAX(BN17-IFERROR(VLOOKUP(B17,Paramètres!$B$28:$C$39,2,FALSE),0)*MIN(MIN((Simulation!$C$7+Simulation!$C$12+Simulation!$C$8+Simulation!$C$10)/Simulation!$C$28,Paramètres!$C$26)*Simulation!$C$28,Paramètres!$C$25),0)-X17</f>
        <v>3901.8085610993039</v>
      </c>
      <c r="BP17" s="126">
        <f t="shared" si="14"/>
        <v>2647.2160843446654</v>
      </c>
      <c r="BQ17" s="108">
        <f t="shared" si="15"/>
        <v>0</v>
      </c>
      <c r="BR17" s="108">
        <f t="shared" si="21"/>
        <v>0</v>
      </c>
      <c r="BS17" s="108">
        <f t="shared" si="19"/>
        <v>2647.2160843446654</v>
      </c>
      <c r="BT17" s="108">
        <f t="shared" si="16"/>
        <v>0</v>
      </c>
      <c r="BU17" s="108">
        <f>(MAX(MIN(Paramètres!$B$9,(O17+MAX(P17,0)+MAX(Q17,0)+R17+BS17)/T17),0)*Paramètres!$C$9+MAX(MIN(Paramètres!$B$10,(O17+MAX(P17,0)+MAX(Q17,0)+R17+BS17)/T17)-Paramètres!$B$9,0)*Paramètres!$C$10+MAX(MIN(Paramètres!$B$11,(O17+MAX(P17,0)+MAX(Q17,0)+R17+BS17)/T17)-Paramètres!$B$10,0)*Paramètres!$C$11+MAX(MIN(Paramètres!$B$12,(O17+MAX(P17,0)+MAX(Q17,0)+R17+BS17)/T17)-Paramètres!$B$11,0)*Paramètres!$C$12+MAX(MIN(Paramètres!$B$13,(O17+MAX(P17,0)+MAX(Q17,0)+R17+BS17)/T17)-Paramètres!$B$12,0)*Paramètres!$C$13)*T17</f>
        <v>31325.875736440707</v>
      </c>
      <c r="BV17" s="108">
        <f>(MAX(MIN(Paramètres!$B$9,(O17+MAX(P17,0)+MAX(Q17,0)+R17+BS17)/U17),0)*Paramètres!$C$9+MAX(MIN(Paramètres!$B$10,(O17+MAX(P17,0)+MAX(Q17,0)+R17+BS17)/U17)-Paramètres!$B$9,0)*Paramètres!$C$10+MAX(MIN(Paramètres!$B$11,(O17+MAX(P17,0)+MAX(Q17,0)+R17+BS17)/U17)-Paramètres!$B$10,0)*Paramètres!$C$11+MAX(MIN(Paramètres!$B$12,(O17+MAX(P17,0)+MAX(Q17,0)+R17+BS17)/U17)-Paramètres!$B$11,0)*Paramètres!$C$12+MAX(MIN(Paramètres!$B$13,(O17+MAX(P17,0)+MAX(Q17,0)+R17+BS17)/U17)-Paramètres!$B$12,0)*Paramètres!$C$13)*U17</f>
        <v>31325.875736440707</v>
      </c>
      <c r="BW17" s="108">
        <f>MAX(BU17,BV17-Paramètres!$E$13*(T17-U17)*2)+MAX(P17,0)*Paramètres!$E$9+MAX(Q17,0)*Paramètres!$E$9+MAX((R17+BS17)*Paramètres!$E$12,Paramètres!$E$11)</f>
        <v>32470.875736440707</v>
      </c>
      <c r="BX17" s="108">
        <f t="shared" si="17"/>
        <v>1085.3585945813138</v>
      </c>
      <c r="BY17" s="149">
        <f>(C17-SUM(D17:N17)+MIN(BY16,0))*(B17&lt;=Simulation!$F$24)</f>
        <v>-9448.1118194364626</v>
      </c>
      <c r="BZ17" s="108">
        <f>(Simulation!$F$22-(Simulation!$C$13-SUM($I$8:$N$37)))*(B17=Simulation!$F$24)</f>
        <v>0</v>
      </c>
      <c r="CA17" s="108">
        <f>MAX(MIN(BY17+BZ17,Paramètres!$B$17)*Paramètres!$C$17+MAX(MIN(BY17+BZ17,Paramètres!$B$18)-Paramètres!$B$17,0)*Paramètres!$C$18+MAX(MIN(BY17+BZ17,Paramètres!$B$19)-Paramètres!$B$18,0)*Paramètres!$C$19,0)</f>
        <v>0</v>
      </c>
      <c r="CB17" s="150">
        <f>MAX(MIN(BY17,Paramètres!$B$17)*Paramètres!$C$17+MAX(MIN(BY17,Paramètres!$B$18)-Paramètres!$B$17,0)*Paramètres!$C$18+MAX(MIN(BY17,Paramètres!$B$19)-Paramètres!$B$18,0)*Paramètres!$C$19,0)</f>
        <v>0</v>
      </c>
      <c r="CC17" s="108">
        <f>(C17-SUM(D17:N17)+MIN(CC16,0))*(B17&lt;=Simulation!$F$24)</f>
        <v>-9448.1118194364626</v>
      </c>
      <c r="CD17" s="108">
        <f>(Simulation!$F$22-(Simulation!$C$13-SUM($I$8:$N$37)))*(B17=Simulation!$F$24)</f>
        <v>0</v>
      </c>
      <c r="CE17" s="108">
        <f>MAX(MIN(CC17+CD17,Paramètres!$B$17)*Paramètres!$C$17+MAX(MIN(CC17+CD17,Paramètres!$B$18)-Paramètres!$B$17,0)*Paramètres!$C$18+MAX(MIN(CC17+CD17,Paramètres!$B$19)-Paramètres!$B$18,0)*Paramètres!$C$19,0)</f>
        <v>0</v>
      </c>
      <c r="CF17" s="108">
        <f>MAX(MIN(CC17,Paramètres!$B$17)*Paramètres!$C$17+MAX(MIN(CC17,Paramètres!$B$18)-Paramètres!$B$17,0)*Paramètres!$C$18+MAX(MIN(CC17,Paramètres!$B$19)-Paramètres!$B$18,0)*Paramètres!$C$19,0)</f>
        <v>0</v>
      </c>
      <c r="CG17" s="108">
        <f>MAX(CC17+CD17-CF17,0)*(1-Paramètres!$E$17)*Paramètres!$E$18</f>
        <v>0</v>
      </c>
      <c r="CH17" s="54">
        <f>MAX(CC17-CF17,0)*(1-Paramètres!$E$17)*Paramètres!$E$18</f>
        <v>0</v>
      </c>
      <c r="CI17" s="127">
        <f ca="1">OFFSET($AC17,0,VLOOKUP(Simulation!$C$27,Simulation!$Q$5:$R$14,2,FALSE))</f>
        <v>0</v>
      </c>
      <c r="CK17" s="167"/>
      <c r="CL17" s="167"/>
      <c r="CM17" s="167"/>
      <c r="CN17" s="167"/>
      <c r="CO17" s="167"/>
      <c r="CP17" s="167"/>
      <c r="CQ17" s="167"/>
      <c r="CR17" s="167"/>
      <c r="CS17" s="167"/>
      <c r="CT17" s="167"/>
      <c r="CU17" s="167"/>
      <c r="CV17" s="167"/>
    </row>
    <row r="18" spans="2:100" x14ac:dyDescent="0.2">
      <c r="B18" s="40">
        <f t="shared" si="0"/>
        <v>11</v>
      </c>
      <c r="C18" s="143">
        <f>SUMPRODUCT('Détail trésorerie'!$H$8:$H$367*('Détail trésorerie'!$B$8:$B$367&gt;$B17*12)*('Détail trésorerie'!$B$8:$B$367&lt;=$B18*12))</f>
        <v>13255.465504934453</v>
      </c>
      <c r="D18" s="143">
        <f>SUMPRODUCT('Détail trésorerie'!$E$8:$E$367*('Détail trésorerie'!$B$8:$B$367&gt;$B17*12)*('Détail trésorerie'!$B$8:$B$367&lt;=$B18*12))</f>
        <v>1376.7104112000002</v>
      </c>
      <c r="E18" s="144">
        <f>SUMPRODUCT('Détail trésorerie'!$J$8:$J$367*('Détail trésorerie'!$B$8:$B$367&gt;$B17*12)*('Détail trésorerie'!$B$8:$B$367&lt;=$B18*12))</f>
        <v>1656.9331881168066</v>
      </c>
      <c r="F18" s="144">
        <f>SUMPRODUCT('Détail trésorerie'!$K$8:$K$367*('Détail trésorerie'!$B$8:$B$367&gt;$B17*12)*('Détail trésorerie'!$B$8:$B$367&lt;=$B18*12))</f>
        <v>1369.731435509894</v>
      </c>
      <c r="G18" s="144">
        <f>SUMPRODUCT('Détail trésorerie'!$L$8:$L$367*('Détail trésorerie'!$B$8:$B$367&gt;$B17*12)*('Détail trésorerie'!$B$8:$B$367&lt;=$B18*12))</f>
        <v>662.77327524672273</v>
      </c>
      <c r="H18" s="145">
        <f>SUMPRODUCT('Détail trésorerie'!$M$8:$M$367*('Détail trésorerie'!$B$8:$B$367&gt;$B17*12)*('Détail trésorerie'!$B$8:$B$367&lt;=$B18*12))</f>
        <v>467.26221254112039</v>
      </c>
      <c r="I18" s="126">
        <f>MAX(MIN(Paramètres!$E$3*Simulation!$C$7*Paramètres!$C$3,Simulation!$C$7*Paramètres!$E$3-SUM(I$8:$I17)),0)*(B18&lt;=Simulation!$F$24)</f>
        <v>0</v>
      </c>
      <c r="J18" s="108">
        <f>MAX(MIN(Paramètres!$E$4*Simulation!$C$7*Paramètres!$C$4,Simulation!$C$7*Paramètres!$E$4-SUM($J$8:J17)),0)*(B18&lt;=Simulation!$F$24)</f>
        <v>2700</v>
      </c>
      <c r="K18" s="108">
        <f>MAX(MIN(Paramètres!$E$5*Simulation!$C$8*Paramètres!$C$5,Paramètres!$E$5*Simulation!$C$8-SUM($K$8:K17)),0)*(B18&lt;=Simulation!$F$24)</f>
        <v>2148</v>
      </c>
      <c r="L18" s="108">
        <v>0</v>
      </c>
      <c r="M18" s="108">
        <v>0</v>
      </c>
      <c r="N18" s="108">
        <f>MAX(MIN(Paramètres!$C$6*(Simulation!$C$10+Simulation!$C$11+Simulation!$C$12),(Simulation!$C$10+Simulation!$C$11+Simulation!$C$12)-SUM(N$8:N17)),0)*(B18&lt;=Simulation!$F$24)</f>
        <v>0</v>
      </c>
      <c r="O18" s="148">
        <f>25000*8/2*(1+Emprunteur!$F$7)^$B18</f>
        <v>111566.83466653165</v>
      </c>
      <c r="P18" s="165">
        <f>0*(1+Emprunteur!$F$8)^$B18</f>
        <v>0</v>
      </c>
      <c r="Q18" s="165">
        <f>0*(1+Emprunteur!$F$9)^$B18</f>
        <v>0</v>
      </c>
      <c r="R18" s="165">
        <f>0*(1+Emprunteur!$F$10)^$B18</f>
        <v>0</v>
      </c>
      <c r="S18" s="108">
        <f t="shared" si="5"/>
        <v>111566.83466653165</v>
      </c>
      <c r="T18" s="157">
        <v>1</v>
      </c>
      <c r="U18" s="157">
        <v>1</v>
      </c>
      <c r="V18" s="108">
        <f>(MAX(MIN(Paramètres!$B$9,S18/T18),0)*Paramètres!$C$9+MAX(MIN(Paramètres!$B$10,S18/T18)-Paramètres!$B$9,0)*Paramètres!$C$10+MAX(MIN(Paramètres!$B$11,S18/T18)-Paramètres!$B$10,0)*Paramètres!$C$11+MAX(MIN(Paramètres!$B$12,S18/T18)-Paramètres!$B$11,0)*Paramètres!$C$12+MAX(MIN(Paramètres!$B$13,S18/T18)-Paramètres!$B$12,0)*Paramètres!$C$13)*T18</f>
        <v>30693.412213277974</v>
      </c>
      <c r="W18" s="108">
        <f>(MAX(MIN(Paramètres!$B$9,S18/U18),0)*Paramètres!$C$9+MAX(MIN(Paramètres!$B$10,S18/U18)-Paramètres!$B$9,0)*Paramètres!$C$10+MAX(MIN(Paramètres!$B$11,S18/U18)-Paramètres!$B$10,0)*Paramètres!$C$11+MAX(MIN(Paramètres!$B$12,S18/U18)-Paramètres!$B$11,0)*Paramètres!$C$12+MAX(MIN(Paramètres!$B$13,S18/U18)-Paramètres!$B$12,0)*Paramètres!$C$13)*U18</f>
        <v>30693.412213277974</v>
      </c>
      <c r="X18" s="108">
        <f>MAX(V18,W18-Paramètres!$E$13*(T18-U18)*2)+MAX(P18,0)*Paramètres!$E$9+MAX(Q18,0)*Paramètres!$E$9+MAX(R18*Paramètres!$E$12,Paramètres!$E$11)</f>
        <v>31838.412213277974</v>
      </c>
      <c r="Y18" s="126">
        <f>(C18-SUM(D18:N18)+MIN(Y17,0))*(B18&lt;=Simulation!$F$24)</f>
        <v>-6574.0568371165537</v>
      </c>
      <c r="Z18" s="108">
        <f>(MAX(MIN(Paramètres!$B$9,(O18+MAX(P18,0)+MAX(Q18+Y18,0)+R18)/T18),0)*Paramètres!$C$9+MAX(MIN(Paramètres!$B$10,(O18+MAX(P18,0)+MAX(Q18+Y18,0)+R18)/T18)-Paramètres!$B$9,0)*Paramètres!$C$10+MAX(MIN(Paramètres!$B$11,(O18+MAX(P18,0)+MAX(Q18+Y18,0)+R18)/T18)-Paramètres!$B$10,0)*Paramètres!$C$11+MAX(MIN(Paramètres!$B$12,(O18+MAX(P18,0)+MAX(Q18+Y18,0)+R18)/T18)-Paramètres!$B$11,0)*Paramètres!$C$12+MAX(MIN(Paramètres!$B$13,(O18+MAX(P18,0)+MAX(Q18+Y18,0)+R18)/T18)-Paramètres!$B$12,0)*Paramètres!$C$13)*T18</f>
        <v>30693.412213277974</v>
      </c>
      <c r="AA18" s="108">
        <f>(MAX(MIN(Paramètres!$B$9,(O18+MAX(P18,0)+MAX(Q18+Y18,0)+R18)/U18),0)*Paramètres!$C$9+MAX(MIN(Paramètres!$B$10,(O18+MAX(P18,0)+MAX(Q18+Y18,0)+R18)/U18)-Paramètres!$B$9,0)*Paramètres!$C$10+MAX(MIN(Paramètres!$B$11,(O18+MAX(P18,0)+MAX(Q18+Y18,0)+R18)/U18)-Paramètres!$B$10,0)*Paramètres!$C$11+MAX(MIN(Paramètres!$B$12,(O18+MAX(P18,0)+MAX(Q18+Y18,0)+R18)/U18)-Paramètres!$B$11,0)*Paramètres!$C$12+MAX(MIN(Paramètres!$B$13,(O18+MAX(P18,0)+MAX(Q18+Y18,0)+R18)/U18)-Paramètres!$B$12,0)*Paramètres!$C$13)*U18</f>
        <v>30693.412213277974</v>
      </c>
      <c r="AB18" s="108">
        <f>MAX(Z18,AA18-Paramètres!$E$13*(T18-U18)*2)+MAX(P18,0)*Paramètres!$E$9+MAX(Q18+Y18,0)*Paramètres!$E$9+MAX(R18*Paramètres!$E$12,Paramètres!$E$11)</f>
        <v>31838.412213277974</v>
      </c>
      <c r="AC18" s="108">
        <f t="shared" si="6"/>
        <v>0</v>
      </c>
      <c r="AD18" s="149">
        <f t="shared" si="1"/>
        <v>6627.7327524672264</v>
      </c>
      <c r="AE18" s="108">
        <f>(MAX(MIN(Paramètres!$B$9,(O18+MAX(P18,0)+MAX(Q18+AD18,0)+R18)/T18),0)*Paramètres!$C$9+MAX(MIN(Paramètres!$B$10,(O18+MAX(P18,0)+MAX(Q18+AD18,0)+R18)/T18)-Paramètres!$B$9,0)*Paramètres!$C$10+MAX(MIN(Paramètres!$B$11,(O18+MAX(P18,0)+MAX(Q18+AD18,0)+R18)/T18)-Paramètres!$B$10,0)*Paramètres!$C$11+MAX(MIN(Paramètres!$B$12,(O18+MAX(P18,0)+MAX(Q18+AD18,0)+R18)/T18)-Paramètres!$B$11,0)*Paramètres!$C$12+MAX(MIN(Paramètres!$B$13,(O18+MAX(P18,0)+MAX(Q18+AD18,0)+R18)/T18)-Paramètres!$B$12,0)*Paramètres!$C$13)*T18</f>
        <v>33410.782641789541</v>
      </c>
      <c r="AF18" s="108">
        <f>(MAX(MIN(Paramètres!$B$9,(O18+MAX(P18,0)+MAX(Q18+AD18,0)+R18)/U18),0)*Paramètres!$C$9+MAX(MIN(Paramètres!$B$10,(O18+MAX(P18,0)+MAX(Q18+AD18,0)+R18)/U18)-Paramètres!$B$9,0)*Paramètres!$C$10+MAX(MIN(Paramètres!$B$11,(O18+MAX(P18,0)+MAX(Q18+AD18,0)+R18)/U18)-Paramètres!$B$10,0)*Paramètres!$C$11+MAX(MIN(Paramètres!$B$12,(O18+MAX(P18,0)+MAX(Q18+AD18,0)+R18)/U18)-Paramètres!$B$11,0)*Paramètres!$C$12+MAX(MIN(Paramètres!$B$13,(O18+MAX(P18,0)+MAX(Q18+AD18,0)+R18)/U18)-Paramètres!$B$12,0)*Paramètres!$C$13)*U18</f>
        <v>33410.782641789541</v>
      </c>
      <c r="AG18" s="108">
        <f>MAX(AE18,AF18-Paramètres!$E$13*(T18-U18)*2)+MAX(P18,0)*Paramètres!$E$9+MAX(Q18+AD18,0)*Paramètres!$E$9+MAX(R18*Paramètres!$E$12,Paramètres!$E$11)</f>
        <v>35695.752675213902</v>
      </c>
      <c r="AH18" s="150">
        <f t="shared" si="7"/>
        <v>3857.340461935928</v>
      </c>
      <c r="AI18" s="149">
        <f t="shared" si="8"/>
        <v>6627.7327524672264</v>
      </c>
      <c r="AJ18" s="108">
        <f>(MAX(MIN(Paramètres!$B$9,(O18+MAX(P18,0)+MAX(Q18+AI18,0)+R18)/T18),0)*Paramètres!$C$9+MAX(MIN(Paramètres!$B$10,(O18+MAX(P18,0)+MAX(Q18+AI18,0)+R18)/T18)-Paramètres!$B$9,0)*Paramètres!$C$10+MAX(MIN(Paramètres!$B$11,(O18+MAX(P18,0)+MAX(Q18+AI18,0)+R18)/T18)-Paramètres!$B$10,0)*Paramètres!$C$11+MAX(MIN(Paramètres!$B$12,(O18+MAX(P18,0)+MAX(Q18+AI18,0)+R18)/T18)-Paramètres!$B$11,0)*Paramètres!$C$12+MAX(MIN(Paramètres!$B$13,(O18+MAX(P18,0)+MAX(Q18+AI18,0)+R18)/T18)-Paramètres!$B$12,0)*Paramètres!$C$13)*T18</f>
        <v>33410.782641789541</v>
      </c>
      <c r="AK18" s="108">
        <f>(MAX(MIN(Paramètres!$B$9,(O18+MAX(P18,0)+MAX(Q18+AI18,0)+R18)/U18),0)*Paramètres!$C$9+MAX(MIN(Paramètres!$B$10,(O18+MAX(P18,0)+MAX(Q18+AI18,0)+R18)/U18)-Paramètres!$B$9,0)*Paramètres!$C$10+MAX(MIN(Paramètres!$B$11,(O18+MAX(P18,0)+MAX(Q18+AI18,0)+R18)/U18)-Paramètres!$B$10,0)*Paramètres!$C$11+MAX(MIN(Paramètres!$B$12,(O18+MAX(P18,0)+MAX(Q18+AI18,0)+R18)/U18)-Paramètres!$B$11,0)*Paramètres!$C$12+MAX(MIN(Paramètres!$B$13,(O18+MAX(P18,0)+MAX(Q18+AI18,0)+R18)/U18)-Paramètres!$B$12,0)*Paramètres!$C$13)*U18</f>
        <v>33410.782641789541</v>
      </c>
      <c r="AL18" s="108">
        <f>MAX(AJ18,AK18-Paramètres!$E$13*(T18-U18)*2)+MAX(P18,0)*Paramètres!$E$9+MAX(Q18+AI18,0)*Paramètres!$E$9+MAX(R18*Paramètres!$E$12,Paramètres!$E$11)</f>
        <v>35695.752675213902</v>
      </c>
      <c r="AM18" s="150">
        <f>MAX(AL18-11%/9*Simulation!$C$7*(B18&lt;=9),0)-X18</f>
        <v>3857.340461935928</v>
      </c>
      <c r="AN18" s="149">
        <f>MAX(MAX(C18-D18,0)-SUM(E18:H18),-MIN(SUM(O18:R18),Paramètres!$E$19+MAX(P18,0)))</f>
        <v>7722.054982319909</v>
      </c>
      <c r="AO18" s="108">
        <f t="shared" si="18"/>
        <v>-9.0949470177292824E-13</v>
      </c>
      <c r="AP18" s="108">
        <f t="shared" ref="AP18:AP37" si="22">MIN(SUM(AO9:AO18)-SUM(AR9:AR17),0)</f>
        <v>0</v>
      </c>
      <c r="AQ18" s="108">
        <f t="shared" si="9"/>
        <v>7722.054982319909</v>
      </c>
      <c r="AR18" s="108">
        <f t="shared" si="10"/>
        <v>0</v>
      </c>
      <c r="AS18" s="108">
        <f>(MAX(MIN(Paramètres!$B$9,(O18+P18+AQ18+MAX(Q18,0)+R18)/T18),0)*Paramètres!$C$9+MAX(MIN(Paramètres!$B$10,(O18+P18+AQ18+MAX(Q18,0)+R18)/T18)-Paramètres!$B$9,0)*Paramètres!$C$10+MAX(MIN(Paramètres!$B$11,(O18+P18+AQ18+MAX(Q18,0)+R18)/T18)-Paramètres!$B$10,0)*Paramètres!$C$11+MAX(MIN(Paramètres!$B$12,(O18+P18+AQ18+MAX(Q18,0)+R18)/T18)-Paramètres!$B$11,0)*Paramètres!$C$12+MAX(MIN(Paramètres!$B$13,(O18+P18+AQ18+MAX(Q18,0)+R18)/T18)-Paramètres!$B$12,0)*Paramètres!$C$13)*T18</f>
        <v>33859.454756029139</v>
      </c>
      <c r="AT18" s="108">
        <f>(MAX(MIN(Paramètres!$B$9,(O18+P18+AQ18+MAX(Q18,0)+R18)/U18),0)*Paramètres!$C$9+MAX(MIN(Paramètres!$B$10,(O18+P18+AQ18+MAX(Q18,0)+R18)/U18)-Paramètres!$B$9,0)*Paramètres!$C$10+MAX(MIN(Paramètres!$B$11,(O18+P18+AQ18+MAX(Q18,0)+R18)/U18)-Paramètres!$B$10,0)*Paramètres!$C$11+MAX(MIN(Paramètres!$B$12,(O18+P18+AQ18+MAX(Q18,0)+R18)/U18)-Paramètres!$B$11,0)*Paramètres!$C$12+MAX(MIN(Paramètres!$B$13,(O18+P18+AQ18+MAX(Q18,0)+R18)/U18)-Paramètres!$B$12,0)*Paramètres!$C$13)*U18</f>
        <v>33859.454756029139</v>
      </c>
      <c r="AU18" s="108">
        <f>MAX(AS18,AT18-Paramètres!$E$13*(T18-U18)*2)+MAX(P18+AQ18,0)*Paramètres!$E$9+MAX(Q18,0)*Paramètres!$E$9+MAX(R18*Paramètres!$E$12,Paramètres!$E$11)</f>
        <v>36332.648212988162</v>
      </c>
      <c r="AV18" s="150">
        <f t="shared" si="2"/>
        <v>4494.2359997101885</v>
      </c>
      <c r="AW18" s="108">
        <f t="shared" si="3"/>
        <v>9278.8258534541164</v>
      </c>
      <c r="AX18" s="108">
        <f>(MAX(MIN(Paramètres!$B$9,(O18+MAX(P18+AW18,0)+MAX(Q18,0)+R18)/T18),0)*Paramètres!$C$9+MAX(MIN(Paramètres!$B$10,(O18+MAX(P18+AW18,0)+MAX(Q18,0)+R18)/T18)-Paramètres!$B$9,0)*Paramètres!$C$10+MAX(MIN(Paramètres!$B$11,(O18+MAX(P18+AW18,0)+MAX(Q18,0)+R18)/T18)-Paramètres!$B$10,0)*Paramètres!$C$11+MAX(MIN(Paramètres!$B$12,(O18+MAX(P18+AW18,0)+MAX(Q18,0)+R18)/T18)-Paramètres!$B$11,0)*Paramètres!$C$12+MAX(MIN(Paramètres!$B$13,(O18+MAX(P18+AW18,0)+MAX(Q18,0)+R18)/T18)-Paramètres!$B$12,0)*Paramètres!$C$13)*T18</f>
        <v>34497.730813194168</v>
      </c>
      <c r="AY18" s="108">
        <f>(MAX(MIN(Paramètres!$B$9,(O18+MAX(P18+AW18,0)+MAX(Q18,0)+R18)/U18),0)*Paramètres!$C$9+MAX(MIN(Paramètres!$B$10,(O18+MAX(P18+AW18,0)+MAX(Q18,0)+R18)/U18)-Paramètres!$B$9,0)*Paramètres!$C$10+MAX(MIN(Paramètres!$B$11,(O18+MAX(P18+AW18,0)+MAX(Q18,0)+R18)/U18)-Paramètres!$B$10,0)*Paramètres!$C$11+MAX(MIN(Paramètres!$B$12,(O18+MAX(P18+AW18,0)+MAX(Q18,0)+R18)/U18)-Paramètres!$B$11,0)*Paramètres!$C$12+MAX(MIN(Paramètres!$B$13,(O18+MAX(P18+AW18,0)+MAX(Q18,0)+R18)/U18)-Paramètres!$B$12,0)*Paramètres!$C$13)*U18</f>
        <v>34497.730813194168</v>
      </c>
      <c r="AZ18" s="108">
        <f>MAX(AX18,AY18-Paramètres!$E$13*(T18-U18)*2)+MAX(P18+AW18,0)*Paramètres!$E$9+MAX(Q18,0)*Paramètres!$E$9+MAX(R18*Paramètres!$E$12,Paramètres!$E$11)</f>
        <v>37238.688859988273</v>
      </c>
      <c r="BA18" s="108">
        <f t="shared" si="4"/>
        <v>5400.2766467102992</v>
      </c>
      <c r="BB18" s="149">
        <f>MAX(MAX(C18-D18,0)-SUM(E18:H18),-MIN(SUM(O18:R18),Paramètres!$E$19+MAX(P18,0)))</f>
        <v>7722.054982319909</v>
      </c>
      <c r="BC18" s="108">
        <f t="shared" si="20"/>
        <v>-9.0949470177292824E-13</v>
      </c>
      <c r="BD18" s="108">
        <f t="shared" ref="BD18:BD37" si="23">MIN(SUM(BC9:BC18)-SUM(BF9:BF17),0)</f>
        <v>-1.8189894035458565E-12</v>
      </c>
      <c r="BE18" s="108">
        <f t="shared" si="11"/>
        <v>7722.0549823199071</v>
      </c>
      <c r="BF18" s="108">
        <f t="shared" si="12"/>
        <v>0</v>
      </c>
      <c r="BG18" s="108">
        <f>(MAX(MIN(Paramètres!$B$9,(O18+P18+BE18+MAX(Q18,0)+R18)/T18),0)*Paramètres!$C$9+MAX(MIN(Paramètres!$B$10,(O18+P18+BE18+MAX(Q18,0)+R18)/T18)-Paramètres!$B$9,0)*Paramètres!$C$10+MAX(MIN(Paramètres!$B$11,(O18+P18+BE18+MAX(Q18,0)+R18)/T18)-Paramètres!$B$10,0)*Paramètres!$C$11+MAX(MIN(Paramètres!$B$12,(O18+P18+BE18+MAX(Q18,0)+R18)/T18)-Paramètres!$B$11,0)*Paramètres!$C$12+MAX(MIN(Paramètres!$B$13,(O18+P18+BE18+MAX(Q18,0)+R18)/T18)-Paramètres!$B$12,0)*Paramètres!$C$13)*T18</f>
        <v>33859.454756029139</v>
      </c>
      <c r="BH18" s="108">
        <f>(MAX(MIN(Paramètres!$B$9,(O18+P18+BE18+MAX(Q18,0)+R18)/U18),0)*Paramètres!$C$9+MAX(MIN(Paramètres!$B$10,(O18+P18+BE18+MAX(Q18,0)+R18)/U18)-Paramètres!$B$9,0)*Paramètres!$C$10+MAX(MIN(Paramètres!$B$11,(O18+P18+BE18+MAX(Q18,0)+R18)/U18)-Paramètres!$B$10,0)*Paramètres!$C$11+MAX(MIN(Paramètres!$B$12,(O18+P18+BE18+MAX(Q18,0)+R18)/U18)-Paramètres!$B$11,0)*Paramètres!$C$12+MAX(MIN(Paramètres!$B$13,(O18+P18+BE18+MAX(Q18,0)+R18)/U18)-Paramètres!$B$12,0)*Paramètres!$C$13)*U18</f>
        <v>33859.454756029139</v>
      </c>
      <c r="BI18" s="108">
        <f>MAX(BG18,BH18-Paramètres!$E$13*(T18-U18)*2)+MAX(P18+BE18,0)*Paramètres!$E$9+MAX(Q18,0)*Paramètres!$E$9+MAX(R18*Paramètres!$E$12,Paramètres!$E$11)</f>
        <v>36332.648212988162</v>
      </c>
      <c r="BJ18" s="150">
        <f>MAX(BI18-IFERROR(VLOOKUP(B18,Paramètres!$B$28:$C$39,2,FALSE),0)*MIN(MIN((Simulation!$C$7+Simulation!$C$12+Simulation!$C$8+Simulation!$C$10)/Simulation!$C$28,Paramètres!$C$26)*Simulation!$C$28,Paramètres!$C$25),0)-X18</f>
        <v>3049.2359997101885</v>
      </c>
      <c r="BK18" s="108">
        <f t="shared" si="13"/>
        <v>9278.8258534541164</v>
      </c>
      <c r="BL18" s="108">
        <f>(MAX(MIN(Paramètres!$B$9,(O18+MAX(P18+BK18,0)+MAX(Q18,0)+R18)/T18),0)*Paramètres!$C$9+MAX(MIN(Paramètres!$B$10,(O18+MAX(P18+BK18,0)+MAX(Q18,0)+R18)/T18)-Paramètres!$B$9,0)*Paramètres!$C$10+MAX(MIN(Paramètres!$B$11,(O18+MAX(P18+BK18,0)+MAX(Q18,0)+R18)/T18)-Paramètres!$B$10,0)*Paramètres!$C$11+MAX(MIN(Paramètres!$B$12,(O18+MAX(P18+BK18,0)+MAX(Q18,0)+R18)/T18)-Paramètres!$B$11,0)*Paramètres!$C$12+MAX(MIN(Paramètres!$B$13,(O18+MAX(P18+BK18,0)+MAX(Q18,0)+R18)/T18)-Paramètres!$B$12,0)*Paramètres!$C$13)*T18</f>
        <v>34497.730813194168</v>
      </c>
      <c r="BM18" s="108">
        <f>(MAX(MIN(Paramètres!$B$9,(O18+MAX(P18+BK18,0)+MAX(Q18,0)+R18)/U18),0)*Paramètres!$C$9+MAX(MIN(Paramètres!$B$10,(O18+MAX(P18+BK18,0)+MAX(Q18,0)+R18)/U18)-Paramètres!$B$9,0)*Paramètres!$C$10+MAX(MIN(Paramètres!$B$11,(O18+MAX(P18+BK18,0)+MAX(Q18,0)+R18)/U18)-Paramètres!$B$10,0)*Paramètres!$C$11+MAX(MIN(Paramètres!$B$12,(O18+MAX(P18+BK18,0)+MAX(Q18,0)+R18)/U18)-Paramètres!$B$11,0)*Paramètres!$C$12+MAX(MIN(Paramètres!$B$13,(O18+MAX(P18+BK18,0)+MAX(Q18,0)+R18)/U18)-Paramètres!$B$12,0)*Paramètres!$C$13)*U18</f>
        <v>34497.730813194168</v>
      </c>
      <c r="BN18" s="108">
        <f>MAX(BL18,BM18-Paramètres!$E$13*(T18-U18)*2)+MAX(P18+BK18,0)*Paramètres!$E$9+MAX(Q18,0)*Paramètres!$E$9+MAX(R18*Paramètres!$E$12,Paramètres!$E$11)</f>
        <v>37238.688859988273</v>
      </c>
      <c r="BO18" s="108">
        <f>MAX(BN18-IFERROR(VLOOKUP(B18,Paramètres!$B$28:$C$39,2,FALSE),0)*MIN(MIN((Simulation!$C$7+Simulation!$C$12+Simulation!$C$8+Simulation!$C$10)/Simulation!$C$28,Paramètres!$C$26)*Simulation!$C$28,Paramètres!$C$25),0)-X18</f>
        <v>3955.2766467102992</v>
      </c>
      <c r="BP18" s="126">
        <f t="shared" si="14"/>
        <v>2874.054982319908</v>
      </c>
      <c r="BQ18" s="108">
        <f t="shared" si="15"/>
        <v>0</v>
      </c>
      <c r="BR18" s="108">
        <f t="shared" si="21"/>
        <v>0</v>
      </c>
      <c r="BS18" s="108">
        <f t="shared" si="19"/>
        <v>2874.054982319908</v>
      </c>
      <c r="BT18" s="108">
        <f t="shared" si="16"/>
        <v>0</v>
      </c>
      <c r="BU18" s="108">
        <f>(MAX(MIN(Paramètres!$B$9,(O18+MAX(P18,0)+MAX(Q18,0)+R18+BS18)/T18),0)*Paramètres!$C$9+MAX(MIN(Paramètres!$B$10,(O18+MAX(P18,0)+MAX(Q18,0)+R18+BS18)/T18)-Paramètres!$B$9,0)*Paramètres!$C$10+MAX(MIN(Paramètres!$B$11,(O18+MAX(P18,0)+MAX(Q18,0)+R18+BS18)/T18)-Paramètres!$B$10,0)*Paramètres!$C$11+MAX(MIN(Paramètres!$B$12,(O18+MAX(P18,0)+MAX(Q18,0)+R18+BS18)/T18)-Paramètres!$B$11,0)*Paramètres!$C$12+MAX(MIN(Paramètres!$B$13,(O18+MAX(P18,0)+MAX(Q18,0)+R18+BS18)/T18)-Paramètres!$B$12,0)*Paramètres!$C$13)*T18</f>
        <v>31871.774756029139</v>
      </c>
      <c r="BV18" s="108">
        <f>(MAX(MIN(Paramètres!$B$9,(O18+MAX(P18,0)+MAX(Q18,0)+R18+BS18)/U18),0)*Paramètres!$C$9+MAX(MIN(Paramètres!$B$10,(O18+MAX(P18,0)+MAX(Q18,0)+R18+BS18)/U18)-Paramètres!$B$9,0)*Paramètres!$C$10+MAX(MIN(Paramètres!$B$11,(O18+MAX(P18,0)+MAX(Q18,0)+R18+BS18)/U18)-Paramètres!$B$10,0)*Paramètres!$C$11+MAX(MIN(Paramètres!$B$12,(O18+MAX(P18,0)+MAX(Q18,0)+R18+BS18)/U18)-Paramètres!$B$11,0)*Paramètres!$C$12+MAX(MIN(Paramètres!$B$13,(O18+MAX(P18,0)+MAX(Q18,0)+R18+BS18)/U18)-Paramètres!$B$12,0)*Paramètres!$C$13)*U18</f>
        <v>31871.774756029139</v>
      </c>
      <c r="BW18" s="108">
        <f>MAX(BU18,BV18-Paramètres!$E$13*(T18-U18)*2)+MAX(P18,0)*Paramètres!$E$9+MAX(Q18,0)*Paramètres!$E$9+MAX((R18+BS18)*Paramètres!$E$12,Paramètres!$E$11)</f>
        <v>33021.3967489571</v>
      </c>
      <c r="BX18" s="108">
        <f t="shared" si="17"/>
        <v>1182.9845356791266</v>
      </c>
      <c r="BY18" s="149">
        <f>(C18-SUM(D18:N18)+MIN(BY17,0))*(B18&lt;=Simulation!$F$24)</f>
        <v>-6574.0568371165537</v>
      </c>
      <c r="BZ18" s="108">
        <f>(Simulation!$F$22-(Simulation!$C$13-SUM($I$8:$N$37)))*(B18=Simulation!$F$24)</f>
        <v>0</v>
      </c>
      <c r="CA18" s="108">
        <f>MAX(MIN(BY18+BZ18,Paramètres!$B$17)*Paramètres!$C$17+MAX(MIN(BY18+BZ18,Paramètres!$B$18)-Paramètres!$B$17,0)*Paramètres!$C$18+MAX(MIN(BY18+BZ18,Paramètres!$B$19)-Paramètres!$B$18,0)*Paramètres!$C$19,0)</f>
        <v>0</v>
      </c>
      <c r="CB18" s="150">
        <f>MAX(MIN(BY18,Paramètres!$B$17)*Paramètres!$C$17+MAX(MIN(BY18,Paramètres!$B$18)-Paramètres!$B$17,0)*Paramètres!$C$18+MAX(MIN(BY18,Paramètres!$B$19)-Paramètres!$B$18,0)*Paramètres!$C$19,0)</f>
        <v>0</v>
      </c>
      <c r="CC18" s="108">
        <f>(C18-SUM(D18:N18)+MIN(CC17,0))*(B18&lt;=Simulation!$F$24)</f>
        <v>-6574.0568371165537</v>
      </c>
      <c r="CD18" s="108">
        <f>(Simulation!$F$22-(Simulation!$C$13-SUM($I$8:$N$37)))*(B18=Simulation!$F$24)</f>
        <v>0</v>
      </c>
      <c r="CE18" s="108">
        <f>MAX(MIN(CC18+CD18,Paramètres!$B$17)*Paramètres!$C$17+MAX(MIN(CC18+CD18,Paramètres!$B$18)-Paramètres!$B$17,0)*Paramètres!$C$18+MAX(MIN(CC18+CD18,Paramètres!$B$19)-Paramètres!$B$18,0)*Paramètres!$C$19,0)</f>
        <v>0</v>
      </c>
      <c r="CF18" s="108">
        <f>MAX(MIN(CC18,Paramètres!$B$17)*Paramètres!$C$17+MAX(MIN(CC18,Paramètres!$B$18)-Paramètres!$B$17,0)*Paramètres!$C$18+MAX(MIN(CC18,Paramètres!$B$19)-Paramètres!$B$18,0)*Paramètres!$C$19,0)</f>
        <v>0</v>
      </c>
      <c r="CG18" s="108">
        <f>MAX(CC18+CD18-CF18,0)*(1-Paramètres!$E$17)*Paramètres!$E$18</f>
        <v>0</v>
      </c>
      <c r="CH18" s="54">
        <f>MAX(CC18-CF18,0)*(1-Paramètres!$E$17)*Paramètres!$E$18</f>
        <v>0</v>
      </c>
      <c r="CI18" s="127">
        <f ca="1">OFFSET($AC18,0,VLOOKUP(Simulation!$C$27,Simulation!$Q$5:$R$14,2,FALSE))</f>
        <v>0</v>
      </c>
      <c r="CK18" s="167"/>
      <c r="CL18" s="167"/>
      <c r="CM18" s="167"/>
      <c r="CN18" s="167"/>
      <c r="CO18" s="167"/>
      <c r="CP18" s="167"/>
      <c r="CQ18" s="167"/>
      <c r="CR18" s="167"/>
      <c r="CS18" s="167"/>
      <c r="CT18" s="167"/>
      <c r="CU18" s="167"/>
      <c r="CV18" s="167"/>
    </row>
    <row r="19" spans="2:100" x14ac:dyDescent="0.2">
      <c r="B19" s="40">
        <f t="shared" si="0"/>
        <v>12</v>
      </c>
      <c r="C19" s="143">
        <f>SUMPRODUCT('Détail trésorerie'!$H$8:$H$367*('Détail trésorerie'!$B$8:$B$367&gt;$B18*12)*('Détail trésorerie'!$B$8:$B$367&lt;=$B19*12))</f>
        <v>13388.020159983795</v>
      </c>
      <c r="D19" s="143">
        <f>SUMPRODUCT('Détail trésorerie'!$E$8:$E$367*('Détail trésorerie'!$B$8:$B$367&gt;$B18*12)*('Détail trésorerie'!$B$8:$B$367&lt;=$B19*12))</f>
        <v>1241.4788853283796</v>
      </c>
      <c r="E19" s="144">
        <f>SUMPRODUCT('Détail trésorerie'!$J$8:$J$367*('Détail trésorerie'!$B$8:$B$367&gt;$B18*12)*('Détail trésorerie'!$B$8:$B$367&lt;=$B19*12))</f>
        <v>1673.5025199979743</v>
      </c>
      <c r="F19" s="144">
        <f>SUMPRODUCT('Détail trésorerie'!$K$8:$K$367*('Détail trésorerie'!$B$8:$B$367&gt;$B18*12)*('Détail trésorerie'!$B$8:$B$367&lt;=$B19*12))</f>
        <v>1383.4287498649921</v>
      </c>
      <c r="G19" s="144">
        <f>SUMPRODUCT('Détail trésorerie'!$L$8:$L$367*('Détail trésorerie'!$B$8:$B$367&gt;$B18*12)*('Détail trésorerie'!$B$8:$B$367&lt;=$B19*12))</f>
        <v>669.40100799918991</v>
      </c>
      <c r="H19" s="145">
        <f>SUMPRODUCT('Détail trésorerie'!$M$8:$M$367*('Détail trésorerie'!$B$8:$B$367&gt;$B18*12)*('Détail trésorerie'!$B$8:$B$367&lt;=$B19*12))</f>
        <v>468.36683466653153</v>
      </c>
      <c r="I19" s="126">
        <f>MAX(MIN(Paramètres!$E$3*Simulation!$C$7*Paramètres!$C$3,Simulation!$C$7*Paramètres!$E$3-SUM(I$8:$I18)),0)*(B19&lt;=Simulation!$F$24)</f>
        <v>0</v>
      </c>
      <c r="J19" s="108">
        <f>MAX(MIN(Paramètres!$E$4*Simulation!$C$7*Paramètres!$C$4,Simulation!$C$7*Paramètres!$E$4-SUM($J$8:J18)),0)*(B19&lt;=Simulation!$F$24)</f>
        <v>2700</v>
      </c>
      <c r="K19" s="108">
        <f>MAX(MIN(Paramètres!$E$5*Simulation!$C$8*Paramètres!$C$5,Paramètres!$E$5*Simulation!$C$8-SUM($K$8:K18)),0)*(B19&lt;=Simulation!$F$24)</f>
        <v>2148</v>
      </c>
      <c r="L19" s="108">
        <v>0</v>
      </c>
      <c r="M19" s="108">
        <v>0</v>
      </c>
      <c r="N19" s="108">
        <f>MAX(MIN(Paramètres!$C$6*(Simulation!$C$10+Simulation!$C$11+Simulation!$C$12),(Simulation!$C$10+Simulation!$C$11+Simulation!$C$12)-SUM(N$8:N18)),0)*(B19&lt;=Simulation!$F$24)</f>
        <v>0</v>
      </c>
      <c r="O19" s="148">
        <f>25000*8/2*(1+Emprunteur!$F$7)^$B19</f>
        <v>112682.50301319698</v>
      </c>
      <c r="P19" s="165">
        <f>0*(1+Emprunteur!$F$8)^$B19</f>
        <v>0</v>
      </c>
      <c r="Q19" s="165">
        <f>0*(1+Emprunteur!$F$9)^$B19</f>
        <v>0</v>
      </c>
      <c r="R19" s="165">
        <f>0*(1+Emprunteur!$F$10)^$B19</f>
        <v>0</v>
      </c>
      <c r="S19" s="108">
        <f t="shared" si="5"/>
        <v>112682.50301319698</v>
      </c>
      <c r="T19" s="157">
        <v>1</v>
      </c>
      <c r="U19" s="157">
        <v>1</v>
      </c>
      <c r="V19" s="108">
        <f>(MAX(MIN(Paramètres!$B$9,S19/T19),0)*Paramètres!$C$9+MAX(MIN(Paramètres!$B$10,S19/T19)-Paramètres!$B$9,0)*Paramètres!$C$10+MAX(MIN(Paramètres!$B$11,S19/T19)-Paramètres!$B$10,0)*Paramètres!$C$11+MAX(MIN(Paramètres!$B$12,S19/T19)-Paramètres!$B$11,0)*Paramètres!$C$12+MAX(MIN(Paramètres!$B$13,S19/T19)-Paramètres!$B$12,0)*Paramètres!$C$13)*T19</f>
        <v>31150.836235410759</v>
      </c>
      <c r="W19" s="108">
        <f>(MAX(MIN(Paramètres!$B$9,S19/U19),0)*Paramètres!$C$9+MAX(MIN(Paramètres!$B$10,S19/U19)-Paramètres!$B$9,0)*Paramètres!$C$10+MAX(MIN(Paramètres!$B$11,S19/U19)-Paramètres!$B$10,0)*Paramètres!$C$11+MAX(MIN(Paramètres!$B$12,S19/U19)-Paramètres!$B$11,0)*Paramètres!$C$12+MAX(MIN(Paramètres!$B$13,S19/U19)-Paramètres!$B$12,0)*Paramètres!$C$13)*U19</f>
        <v>31150.836235410759</v>
      </c>
      <c r="X19" s="108">
        <f>MAX(V19,W19-Paramètres!$E$13*(T19-U19)*2)+MAX(P19,0)*Paramètres!$E$9+MAX(Q19,0)*Paramètres!$E$9+MAX(R19*Paramètres!$E$12,Paramètres!$E$11)</f>
        <v>32295.836235410759</v>
      </c>
      <c r="Y19" s="126">
        <f>(C19-SUM(D19:N19)+MIN(Y18,0))*(B19&lt;=Simulation!$F$24)</f>
        <v>-3470.2146749898257</v>
      </c>
      <c r="Z19" s="108">
        <f>(MAX(MIN(Paramètres!$B$9,(O19+MAX(P19,0)+MAX(Q19+Y19,0)+R19)/T19),0)*Paramètres!$C$9+MAX(MIN(Paramètres!$B$10,(O19+MAX(P19,0)+MAX(Q19+Y19,0)+R19)/T19)-Paramètres!$B$9,0)*Paramètres!$C$10+MAX(MIN(Paramètres!$B$11,(O19+MAX(P19,0)+MAX(Q19+Y19,0)+R19)/T19)-Paramètres!$B$10,0)*Paramètres!$C$11+MAX(MIN(Paramètres!$B$12,(O19+MAX(P19,0)+MAX(Q19+Y19,0)+R19)/T19)-Paramètres!$B$11,0)*Paramètres!$C$12+MAX(MIN(Paramètres!$B$13,(O19+MAX(P19,0)+MAX(Q19+Y19,0)+R19)/T19)-Paramètres!$B$12,0)*Paramètres!$C$13)*T19</f>
        <v>31150.836235410759</v>
      </c>
      <c r="AA19" s="108">
        <f>(MAX(MIN(Paramètres!$B$9,(O19+MAX(P19,0)+MAX(Q19+Y19,0)+R19)/U19),0)*Paramètres!$C$9+MAX(MIN(Paramètres!$B$10,(O19+MAX(P19,0)+MAX(Q19+Y19,0)+R19)/U19)-Paramètres!$B$9,0)*Paramètres!$C$10+MAX(MIN(Paramètres!$B$11,(O19+MAX(P19,0)+MAX(Q19+Y19,0)+R19)/U19)-Paramètres!$B$10,0)*Paramètres!$C$11+MAX(MIN(Paramètres!$B$12,(O19+MAX(P19,0)+MAX(Q19+Y19,0)+R19)/U19)-Paramètres!$B$11,0)*Paramètres!$C$12+MAX(MIN(Paramètres!$B$13,(O19+MAX(P19,0)+MAX(Q19+Y19,0)+R19)/U19)-Paramètres!$B$12,0)*Paramètres!$C$13)*U19</f>
        <v>31150.836235410759</v>
      </c>
      <c r="AB19" s="108">
        <f>MAX(Z19,AA19-Paramètres!$E$13*(T19-U19)*2)+MAX(P19,0)*Paramètres!$E$9+MAX(Q19+Y19,0)*Paramètres!$E$9+MAX(R19*Paramètres!$E$12,Paramètres!$E$11)</f>
        <v>32295.836235410759</v>
      </c>
      <c r="AC19" s="108">
        <f t="shared" si="6"/>
        <v>0</v>
      </c>
      <c r="AD19" s="149">
        <f t="shared" si="1"/>
        <v>6694.0100799918973</v>
      </c>
      <c r="AE19" s="108">
        <f>(MAX(MIN(Paramètres!$B$9,(O19+MAX(P19,0)+MAX(Q19+AD19,0)+R19)/T19),0)*Paramètres!$C$9+MAX(MIN(Paramètres!$B$10,(O19+MAX(P19,0)+MAX(Q19+AD19,0)+R19)/T19)-Paramètres!$B$9,0)*Paramètres!$C$10+MAX(MIN(Paramètres!$B$11,(O19+MAX(P19,0)+MAX(Q19+AD19,0)+R19)/T19)-Paramètres!$B$10,0)*Paramètres!$C$11+MAX(MIN(Paramètres!$B$12,(O19+MAX(P19,0)+MAX(Q19+AD19,0)+R19)/T19)-Paramètres!$B$11,0)*Paramètres!$C$12+MAX(MIN(Paramètres!$B$13,(O19+MAX(P19,0)+MAX(Q19+AD19,0)+R19)/T19)-Paramètres!$B$12,0)*Paramètres!$C$13)*T19</f>
        <v>33895.380368207436</v>
      </c>
      <c r="AF19" s="108">
        <f>(MAX(MIN(Paramètres!$B$9,(O19+MAX(P19,0)+MAX(Q19+AD19,0)+R19)/U19),0)*Paramètres!$C$9+MAX(MIN(Paramètres!$B$10,(O19+MAX(P19,0)+MAX(Q19+AD19,0)+R19)/U19)-Paramètres!$B$9,0)*Paramètres!$C$10+MAX(MIN(Paramètres!$B$11,(O19+MAX(P19,0)+MAX(Q19+AD19,0)+R19)/U19)-Paramètres!$B$10,0)*Paramètres!$C$11+MAX(MIN(Paramètres!$B$12,(O19+MAX(P19,0)+MAX(Q19+AD19,0)+R19)/U19)-Paramètres!$B$11,0)*Paramètres!$C$12+MAX(MIN(Paramètres!$B$13,(O19+MAX(P19,0)+MAX(Q19+AD19,0)+R19)/U19)-Paramètres!$B$12,0)*Paramètres!$C$13)*U19</f>
        <v>33895.380368207436</v>
      </c>
      <c r="AG19" s="108">
        <f>MAX(AE19,AF19-Paramètres!$E$13*(T19-U19)*2)+MAX(P19,0)*Paramètres!$E$9+MAX(Q19+AD19,0)*Paramètres!$E$9+MAX(R19*Paramètres!$E$12,Paramètres!$E$11)</f>
        <v>36191.750101966041</v>
      </c>
      <c r="AH19" s="150">
        <f t="shared" si="7"/>
        <v>3895.9138665552819</v>
      </c>
      <c r="AI19" s="149">
        <f t="shared" si="8"/>
        <v>6694.0100799918973</v>
      </c>
      <c r="AJ19" s="108">
        <f>(MAX(MIN(Paramètres!$B$9,(O19+MAX(P19,0)+MAX(Q19+AI19,0)+R19)/T19),0)*Paramètres!$C$9+MAX(MIN(Paramètres!$B$10,(O19+MAX(P19,0)+MAX(Q19+AI19,0)+R19)/T19)-Paramètres!$B$9,0)*Paramètres!$C$10+MAX(MIN(Paramètres!$B$11,(O19+MAX(P19,0)+MAX(Q19+AI19,0)+R19)/T19)-Paramètres!$B$10,0)*Paramètres!$C$11+MAX(MIN(Paramètres!$B$12,(O19+MAX(P19,0)+MAX(Q19+AI19,0)+R19)/T19)-Paramètres!$B$11,0)*Paramètres!$C$12+MAX(MIN(Paramètres!$B$13,(O19+MAX(P19,0)+MAX(Q19+AI19,0)+R19)/T19)-Paramètres!$B$12,0)*Paramètres!$C$13)*T19</f>
        <v>33895.380368207436</v>
      </c>
      <c r="AK19" s="108">
        <f>(MAX(MIN(Paramètres!$B$9,(O19+MAX(P19,0)+MAX(Q19+AI19,0)+R19)/U19),0)*Paramètres!$C$9+MAX(MIN(Paramètres!$B$10,(O19+MAX(P19,0)+MAX(Q19+AI19,0)+R19)/U19)-Paramètres!$B$9,0)*Paramètres!$C$10+MAX(MIN(Paramètres!$B$11,(O19+MAX(P19,0)+MAX(Q19+AI19,0)+R19)/U19)-Paramètres!$B$10,0)*Paramètres!$C$11+MAX(MIN(Paramètres!$B$12,(O19+MAX(P19,0)+MAX(Q19+AI19,0)+R19)/U19)-Paramètres!$B$11,0)*Paramètres!$C$12+MAX(MIN(Paramètres!$B$13,(O19+MAX(P19,0)+MAX(Q19+AI19,0)+R19)/U19)-Paramètres!$B$12,0)*Paramètres!$C$13)*U19</f>
        <v>33895.380368207436</v>
      </c>
      <c r="AL19" s="108">
        <f>MAX(AJ19,AK19-Paramètres!$E$13*(T19-U19)*2)+MAX(P19,0)*Paramètres!$E$9+MAX(Q19+AI19,0)*Paramètres!$E$9+MAX(R19*Paramètres!$E$12,Paramètres!$E$11)</f>
        <v>36191.750101966041</v>
      </c>
      <c r="AM19" s="150">
        <f>MAX(AL19-11%/9*Simulation!$C$7*(B19&lt;=9),0)-X19</f>
        <v>3895.9138665552819</v>
      </c>
      <c r="AN19" s="149">
        <f>MAX(MAX(C19-D19,0)-SUM(E19:H19),-MIN(SUM(O19:R19),Paramètres!$E$19+MAX(P19,0)))</f>
        <v>7951.842162126728</v>
      </c>
      <c r="AO19" s="108">
        <f t="shared" si="18"/>
        <v>-9.0949470177292824E-13</v>
      </c>
      <c r="AP19" s="108">
        <f t="shared" si="22"/>
        <v>0</v>
      </c>
      <c r="AQ19" s="108">
        <f t="shared" si="9"/>
        <v>7951.842162126728</v>
      </c>
      <c r="AR19" s="108">
        <f t="shared" si="10"/>
        <v>0</v>
      </c>
      <c r="AS19" s="108">
        <f>(MAX(MIN(Paramètres!$B$9,(O19+P19+AQ19+MAX(Q19,0)+R19)/T19),0)*Paramètres!$C$9+MAX(MIN(Paramètres!$B$10,(O19+P19+AQ19+MAX(Q19,0)+R19)/T19)-Paramètres!$B$9,0)*Paramètres!$C$10+MAX(MIN(Paramètres!$B$11,(O19+P19+AQ19+MAX(Q19,0)+R19)/T19)-Paramètres!$B$10,0)*Paramètres!$C$11+MAX(MIN(Paramètres!$B$12,(O19+P19+AQ19+MAX(Q19,0)+R19)/T19)-Paramètres!$B$11,0)*Paramètres!$C$12+MAX(MIN(Paramètres!$B$13,(O19+P19+AQ19+MAX(Q19,0)+R19)/T19)-Paramètres!$B$12,0)*Paramètres!$C$13)*T19</f>
        <v>34411.091521882721</v>
      </c>
      <c r="AT19" s="108">
        <f>(MAX(MIN(Paramètres!$B$9,(O19+P19+AQ19+MAX(Q19,0)+R19)/U19),0)*Paramètres!$C$9+MAX(MIN(Paramètres!$B$10,(O19+P19+AQ19+MAX(Q19,0)+R19)/U19)-Paramètres!$B$9,0)*Paramètres!$C$10+MAX(MIN(Paramètres!$B$11,(O19+P19+AQ19+MAX(Q19,0)+R19)/U19)-Paramètres!$B$10,0)*Paramètres!$C$11+MAX(MIN(Paramètres!$B$12,(O19+P19+AQ19+MAX(Q19,0)+R19)/U19)-Paramètres!$B$11,0)*Paramètres!$C$12+MAX(MIN(Paramètres!$B$13,(O19+P19+AQ19+MAX(Q19,0)+R19)/U19)-Paramètres!$B$12,0)*Paramètres!$C$13)*U19</f>
        <v>34411.091521882721</v>
      </c>
      <c r="AU19" s="108">
        <f>MAX(AS19,AT19-Paramètres!$E$13*(T19-U19)*2)+MAX(P19+AQ19,0)*Paramètres!$E$9+MAX(Q19,0)*Paramètres!$E$9+MAX(R19*Paramètres!$E$12,Paramètres!$E$11)</f>
        <v>36923.808373768516</v>
      </c>
      <c r="AV19" s="150">
        <f t="shared" si="2"/>
        <v>4627.9721383577562</v>
      </c>
      <c r="AW19" s="108">
        <f t="shared" si="3"/>
        <v>9371.6141119886561</v>
      </c>
      <c r="AX19" s="108">
        <f>(MAX(MIN(Paramètres!$B$9,(O19+MAX(P19+AW19,0)+MAX(Q19,0)+R19)/T19),0)*Paramètres!$C$9+MAX(MIN(Paramètres!$B$10,(O19+MAX(P19+AW19,0)+MAX(Q19,0)+R19)/T19)-Paramètres!$B$9,0)*Paramètres!$C$10+MAX(MIN(Paramètres!$B$11,(O19+MAX(P19+AW19,0)+MAX(Q19,0)+R19)/T19)-Paramètres!$B$10,0)*Paramètres!$C$11+MAX(MIN(Paramètres!$B$12,(O19+MAX(P19+AW19,0)+MAX(Q19,0)+R19)/T19)-Paramètres!$B$11,0)*Paramètres!$C$12+MAX(MIN(Paramètres!$B$13,(O19+MAX(P19+AW19,0)+MAX(Q19,0)+R19)/T19)-Paramètres!$B$12,0)*Paramètres!$C$13)*T19</f>
        <v>34993.198021326112</v>
      </c>
      <c r="AY19" s="108">
        <f>(MAX(MIN(Paramètres!$B$9,(O19+MAX(P19+AW19,0)+MAX(Q19,0)+R19)/U19),0)*Paramètres!$C$9+MAX(MIN(Paramètres!$B$10,(O19+MAX(P19+AW19,0)+MAX(Q19,0)+R19)/U19)-Paramètres!$B$9,0)*Paramètres!$C$10+MAX(MIN(Paramètres!$B$11,(O19+MAX(P19+AW19,0)+MAX(Q19,0)+R19)/U19)-Paramètres!$B$10,0)*Paramètres!$C$11+MAX(MIN(Paramètres!$B$12,(O19+MAX(P19+AW19,0)+MAX(Q19,0)+R19)/U19)-Paramètres!$B$11,0)*Paramètres!$C$12+MAX(MIN(Paramètres!$B$13,(O19+MAX(P19+AW19,0)+MAX(Q19,0)+R19)/U19)-Paramètres!$B$12,0)*Paramètres!$C$13)*U19</f>
        <v>34993.198021326112</v>
      </c>
      <c r="AZ19" s="108">
        <f>MAX(AX19,AY19-Paramètres!$E$13*(T19-U19)*2)+MAX(P19+AW19,0)*Paramètres!$E$9+MAX(Q19,0)*Paramètres!$E$9+MAX(R19*Paramètres!$E$12,Paramètres!$E$11)</f>
        <v>37750.115648588158</v>
      </c>
      <c r="BA19" s="108">
        <f t="shared" si="4"/>
        <v>5454.279413177399</v>
      </c>
      <c r="BB19" s="149">
        <f>MAX(MAX(C19-D19,0)-SUM(E19:H19),-MIN(SUM(O19:R19),Paramètres!$E$19+MAX(P19,0)))</f>
        <v>7951.842162126728</v>
      </c>
      <c r="BC19" s="108">
        <f t="shared" si="20"/>
        <v>-9.0949470177292824E-13</v>
      </c>
      <c r="BD19" s="108">
        <f t="shared" si="23"/>
        <v>-2.7284841053187847E-12</v>
      </c>
      <c r="BE19" s="108">
        <f t="shared" si="11"/>
        <v>7951.8421621267253</v>
      </c>
      <c r="BF19" s="108">
        <f t="shared" si="12"/>
        <v>0</v>
      </c>
      <c r="BG19" s="108">
        <f>(MAX(MIN(Paramètres!$B$9,(O19+P19+BE19+MAX(Q19,0)+R19)/T19),0)*Paramètres!$C$9+MAX(MIN(Paramètres!$B$10,(O19+P19+BE19+MAX(Q19,0)+R19)/T19)-Paramètres!$B$9,0)*Paramètres!$C$10+MAX(MIN(Paramètres!$B$11,(O19+P19+BE19+MAX(Q19,0)+R19)/T19)-Paramètres!$B$10,0)*Paramètres!$C$11+MAX(MIN(Paramètres!$B$12,(O19+P19+BE19+MAX(Q19,0)+R19)/T19)-Paramètres!$B$11,0)*Paramètres!$C$12+MAX(MIN(Paramètres!$B$13,(O19+P19+BE19+MAX(Q19,0)+R19)/T19)-Paramètres!$B$12,0)*Paramètres!$C$13)*T19</f>
        <v>34411.091521882714</v>
      </c>
      <c r="BH19" s="108">
        <f>(MAX(MIN(Paramètres!$B$9,(O19+P19+BE19+MAX(Q19,0)+R19)/U19),0)*Paramètres!$C$9+MAX(MIN(Paramètres!$B$10,(O19+P19+BE19+MAX(Q19,0)+R19)/U19)-Paramètres!$B$9,0)*Paramètres!$C$10+MAX(MIN(Paramètres!$B$11,(O19+P19+BE19+MAX(Q19,0)+R19)/U19)-Paramètres!$B$10,0)*Paramètres!$C$11+MAX(MIN(Paramètres!$B$12,(O19+P19+BE19+MAX(Q19,0)+R19)/U19)-Paramètres!$B$11,0)*Paramètres!$C$12+MAX(MIN(Paramètres!$B$13,(O19+P19+BE19+MAX(Q19,0)+R19)/U19)-Paramètres!$B$12,0)*Paramètres!$C$13)*U19</f>
        <v>34411.091521882714</v>
      </c>
      <c r="BI19" s="108">
        <f>MAX(BG19,BH19-Paramètres!$E$13*(T19-U19)*2)+MAX(P19+BE19,0)*Paramètres!$E$9+MAX(Q19,0)*Paramètres!$E$9+MAX(R19*Paramètres!$E$12,Paramètres!$E$11)</f>
        <v>36923.808373768508</v>
      </c>
      <c r="BJ19" s="150">
        <f>MAX(BI19-IFERROR(VLOOKUP(B19,Paramètres!$B$28:$C$39,2,FALSE),0)*MIN(MIN((Simulation!$C$7+Simulation!$C$12+Simulation!$C$8+Simulation!$C$10)/Simulation!$C$28,Paramètres!$C$26)*Simulation!$C$28,Paramètres!$C$25),0)-X19</f>
        <v>3182.9721383577489</v>
      </c>
      <c r="BK19" s="108">
        <f t="shared" si="13"/>
        <v>9371.6141119886561</v>
      </c>
      <c r="BL19" s="108">
        <f>(MAX(MIN(Paramètres!$B$9,(O19+MAX(P19+BK19,0)+MAX(Q19,0)+R19)/T19),0)*Paramètres!$C$9+MAX(MIN(Paramètres!$B$10,(O19+MAX(P19+BK19,0)+MAX(Q19,0)+R19)/T19)-Paramètres!$B$9,0)*Paramètres!$C$10+MAX(MIN(Paramètres!$B$11,(O19+MAX(P19+BK19,0)+MAX(Q19,0)+R19)/T19)-Paramètres!$B$10,0)*Paramètres!$C$11+MAX(MIN(Paramètres!$B$12,(O19+MAX(P19+BK19,0)+MAX(Q19,0)+R19)/T19)-Paramètres!$B$11,0)*Paramètres!$C$12+MAX(MIN(Paramètres!$B$13,(O19+MAX(P19+BK19,0)+MAX(Q19,0)+R19)/T19)-Paramètres!$B$12,0)*Paramètres!$C$13)*T19</f>
        <v>34993.198021326112</v>
      </c>
      <c r="BM19" s="108">
        <f>(MAX(MIN(Paramètres!$B$9,(O19+MAX(P19+BK19,0)+MAX(Q19,0)+R19)/U19),0)*Paramètres!$C$9+MAX(MIN(Paramètres!$B$10,(O19+MAX(P19+BK19,0)+MAX(Q19,0)+R19)/U19)-Paramètres!$B$9,0)*Paramètres!$C$10+MAX(MIN(Paramètres!$B$11,(O19+MAX(P19+BK19,0)+MAX(Q19,0)+R19)/U19)-Paramètres!$B$10,0)*Paramètres!$C$11+MAX(MIN(Paramètres!$B$12,(O19+MAX(P19+BK19,0)+MAX(Q19,0)+R19)/U19)-Paramètres!$B$11,0)*Paramètres!$C$12+MAX(MIN(Paramètres!$B$13,(O19+MAX(P19+BK19,0)+MAX(Q19,0)+R19)/U19)-Paramètres!$B$12,0)*Paramètres!$C$13)*U19</f>
        <v>34993.198021326112</v>
      </c>
      <c r="BN19" s="108">
        <f>MAX(BL19,BM19-Paramètres!$E$13*(T19-U19)*2)+MAX(P19+BK19,0)*Paramètres!$E$9+MAX(Q19,0)*Paramètres!$E$9+MAX(R19*Paramètres!$E$12,Paramètres!$E$11)</f>
        <v>37750.115648588158</v>
      </c>
      <c r="BO19" s="108">
        <f>MAX(BN19-IFERROR(VLOOKUP(B19,Paramètres!$B$28:$C$39,2,FALSE),0)*MIN(MIN((Simulation!$C$7+Simulation!$C$12+Simulation!$C$8+Simulation!$C$10)/Simulation!$C$28,Paramètres!$C$26)*Simulation!$C$28,Paramètres!$C$25),0)-X19</f>
        <v>4009.279413177399</v>
      </c>
      <c r="BP19" s="126">
        <f t="shared" si="14"/>
        <v>3103.8421621267271</v>
      </c>
      <c r="BQ19" s="108">
        <f t="shared" si="15"/>
        <v>0</v>
      </c>
      <c r="BR19" s="108">
        <f t="shared" si="21"/>
        <v>0</v>
      </c>
      <c r="BS19" s="108">
        <f t="shared" si="19"/>
        <v>3103.8421621267271</v>
      </c>
      <c r="BT19" s="108">
        <f t="shared" si="16"/>
        <v>0</v>
      </c>
      <c r="BU19" s="108">
        <f>(MAX(MIN(Paramètres!$B$9,(O19+MAX(P19,0)+MAX(Q19,0)+R19+BS19)/T19),0)*Paramètres!$C$9+MAX(MIN(Paramètres!$B$10,(O19+MAX(P19,0)+MAX(Q19,0)+R19+BS19)/T19)-Paramètres!$B$9,0)*Paramètres!$C$10+MAX(MIN(Paramètres!$B$11,(O19+MAX(P19,0)+MAX(Q19,0)+R19+BS19)/T19)-Paramètres!$B$10,0)*Paramètres!$C$11+MAX(MIN(Paramètres!$B$12,(O19+MAX(P19,0)+MAX(Q19,0)+R19+BS19)/T19)-Paramètres!$B$11,0)*Paramètres!$C$12+MAX(MIN(Paramètres!$B$13,(O19+MAX(P19,0)+MAX(Q19,0)+R19+BS19)/T19)-Paramètres!$B$12,0)*Paramètres!$C$13)*T19</f>
        <v>32423.411521882721</v>
      </c>
      <c r="BV19" s="108">
        <f>(MAX(MIN(Paramètres!$B$9,(O19+MAX(P19,0)+MAX(Q19,0)+R19+BS19)/U19),0)*Paramètres!$C$9+MAX(MIN(Paramètres!$B$10,(O19+MAX(P19,0)+MAX(Q19,0)+R19+BS19)/U19)-Paramètres!$B$9,0)*Paramètres!$C$10+MAX(MIN(Paramètres!$B$11,(O19+MAX(P19,0)+MAX(Q19,0)+R19+BS19)/U19)-Paramètres!$B$10,0)*Paramètres!$C$11+MAX(MIN(Paramètres!$B$12,(O19+MAX(P19,0)+MAX(Q19,0)+R19+BS19)/U19)-Paramètres!$B$11,0)*Paramètres!$C$12+MAX(MIN(Paramètres!$B$13,(O19+MAX(P19,0)+MAX(Q19,0)+R19+BS19)/U19)-Paramètres!$B$12,0)*Paramètres!$C$13)*U19</f>
        <v>32423.411521882721</v>
      </c>
      <c r="BW19" s="108">
        <f>MAX(BU19,BV19-Paramètres!$E$13*(T19-U19)*2)+MAX(P19,0)*Paramètres!$E$9+MAX(Q19,0)*Paramètres!$E$9+MAX((R19+BS19)*Paramètres!$E$12,Paramètres!$E$11)</f>
        <v>33664.948386733413</v>
      </c>
      <c r="BX19" s="108">
        <f t="shared" si="17"/>
        <v>1369.1121513226535</v>
      </c>
      <c r="BY19" s="149">
        <f>(C19-SUM(D19:N19)+MIN(BY18,0))*(B19&lt;=Simulation!$F$24)</f>
        <v>-3470.2146749898257</v>
      </c>
      <c r="BZ19" s="108">
        <f>(Simulation!$F$22-(Simulation!$C$13-SUM($I$8:$N$37)))*(B19=Simulation!$F$24)</f>
        <v>83768.989754824841</v>
      </c>
      <c r="CA19" s="108">
        <f>MAX(MIN(BY19+BZ19,Paramètres!$B$17)*Paramètres!$C$17+MAX(MIN(BY19+BZ19,Paramètres!$B$18)-Paramètres!$B$17,0)*Paramètres!$C$18+MAX(MIN(BY19+BZ19,Paramètres!$B$19)-Paramètres!$B$18,0)*Paramètres!$C$19,0)</f>
        <v>16262.693769958754</v>
      </c>
      <c r="CB19" s="150">
        <f>MAX(MIN(BY19,Paramètres!$B$17)*Paramètres!$C$17+MAX(MIN(BY19,Paramètres!$B$18)-Paramètres!$B$17,0)*Paramètres!$C$18+MAX(MIN(BY19,Paramètres!$B$19)-Paramètres!$B$18,0)*Paramètres!$C$19,0)</f>
        <v>0</v>
      </c>
      <c r="CC19" s="108">
        <f>(C19-SUM(D19:N19)+MIN(CC18,0))*(B19&lt;=Simulation!$F$24)</f>
        <v>-3470.2146749898257</v>
      </c>
      <c r="CD19" s="108">
        <f>(Simulation!$F$22-(Simulation!$C$13-SUM($I$8:$N$37)))*(B19=Simulation!$F$24)</f>
        <v>83768.989754824841</v>
      </c>
      <c r="CE19" s="108">
        <f>MAX(MIN(CC19+CD19,Paramètres!$B$17)*Paramètres!$C$17+MAX(MIN(CC19+CD19,Paramètres!$B$18)-Paramètres!$B$17,0)*Paramètres!$C$18+MAX(MIN(CC19+CD19,Paramètres!$B$19)-Paramètres!$B$18,0)*Paramètres!$C$19,0)</f>
        <v>16262.693769958754</v>
      </c>
      <c r="CF19" s="108">
        <f>MAX(MIN(CC19,Paramètres!$B$17)*Paramètres!$C$17+MAX(MIN(CC19,Paramètres!$B$18)-Paramètres!$B$17,0)*Paramètres!$C$18+MAX(MIN(CC19,Paramètres!$B$19)-Paramètres!$B$18,0)*Paramètres!$C$19,0)</f>
        <v>0</v>
      </c>
      <c r="CG19" s="108">
        <f>MAX(CC19+CD19-CF19,0)*(1-Paramètres!$E$17)*Paramètres!$E$18</f>
        <v>24089.632523950506</v>
      </c>
      <c r="CH19" s="54">
        <f>MAX(CC19-CF19,0)*(1-Paramètres!$E$17)*Paramètres!$E$18</f>
        <v>0</v>
      </c>
      <c r="CI19" s="127">
        <f ca="1">OFFSET($AC19,0,VLOOKUP(Simulation!$C$27,Simulation!$Q$5:$R$14,2,FALSE))</f>
        <v>0</v>
      </c>
      <c r="CK19" s="167"/>
      <c r="CL19" s="167"/>
      <c r="CM19" s="167"/>
      <c r="CN19" s="167"/>
      <c r="CO19" s="167"/>
      <c r="CP19" s="167"/>
      <c r="CQ19" s="167"/>
      <c r="CR19" s="167"/>
      <c r="CS19" s="167"/>
      <c r="CT19" s="167"/>
      <c r="CU19" s="167"/>
      <c r="CV19" s="167"/>
    </row>
    <row r="20" spans="2:100" x14ac:dyDescent="0.2">
      <c r="B20" s="40">
        <f t="shared" si="0"/>
        <v>13</v>
      </c>
      <c r="C20" s="143">
        <f>SUMPRODUCT('Détail trésorerie'!$H$8:$H$367*('Détail trésorerie'!$B$8:$B$367&gt;$B19*12)*('Détail trésorerie'!$B$8:$B$367&lt;=$B20*12))</f>
        <v>0</v>
      </c>
      <c r="D20" s="143">
        <f>SUMPRODUCT('Détail trésorerie'!$E$8:$E$367*('Détail trésorerie'!$B$8:$B$367&gt;$B19*12)*('Détail trésorerie'!$B$8:$B$367&lt;=$B20*12))</f>
        <v>0</v>
      </c>
      <c r="E20" s="144">
        <f>SUMPRODUCT('Détail trésorerie'!$J$8:$J$367*('Détail trésorerie'!$B$8:$B$367&gt;$B19*12)*('Détail trésorerie'!$B$8:$B$367&lt;=$B20*12))</f>
        <v>0</v>
      </c>
      <c r="F20" s="144">
        <f>SUMPRODUCT('Détail trésorerie'!$K$8:$K$367*('Détail trésorerie'!$B$8:$B$367&gt;$B19*12)*('Détail trésorerie'!$B$8:$B$367&lt;=$B20*12))</f>
        <v>0</v>
      </c>
      <c r="G20" s="144">
        <f>SUMPRODUCT('Détail trésorerie'!$L$8:$L$367*('Détail trésorerie'!$B$8:$B$367&gt;$B19*12)*('Détail trésorerie'!$B$8:$B$367&lt;=$B20*12))</f>
        <v>0</v>
      </c>
      <c r="H20" s="145">
        <f>SUMPRODUCT('Détail trésorerie'!$M$8:$M$367*('Détail trésorerie'!$B$8:$B$367&gt;$B19*12)*('Détail trésorerie'!$B$8:$B$367&lt;=$B20*12))</f>
        <v>0</v>
      </c>
      <c r="I20" s="126">
        <f>MAX(MIN(Paramètres!$E$3*Simulation!$C$7*Paramètres!$C$3,Simulation!$C$7*Paramètres!$E$3-SUM(I$8:$I19)),0)*(B20&lt;=Simulation!$F$24)</f>
        <v>0</v>
      </c>
      <c r="J20" s="108">
        <f>MAX(MIN(Paramètres!$E$4*Simulation!$C$7*Paramètres!$C$4,Simulation!$C$7*Paramètres!$E$4-SUM($J$8:J19)),0)*(B20&lt;=Simulation!$F$24)</f>
        <v>0</v>
      </c>
      <c r="K20" s="108">
        <f>MAX(MIN(Paramètres!$E$5*Simulation!$C$8*Paramètres!$C$5,Paramètres!$E$5*Simulation!$C$8-SUM($K$8:K19)),0)*(B20&lt;=Simulation!$F$24)</f>
        <v>0</v>
      </c>
      <c r="L20" s="108">
        <v>0</v>
      </c>
      <c r="M20" s="108">
        <v>0</v>
      </c>
      <c r="N20" s="108">
        <f>MAX(MIN(Paramètres!$C$6*(Simulation!$C$10+Simulation!$C$11+Simulation!$C$12),(Simulation!$C$10+Simulation!$C$11+Simulation!$C$12)-SUM(N$8:N19)),0)*(B20&lt;=Simulation!$F$24)</f>
        <v>0</v>
      </c>
      <c r="O20" s="148">
        <f>25000*8/2*(1+Emprunteur!$F$7)^$B20</f>
        <v>113809.32804332895</v>
      </c>
      <c r="P20" s="165">
        <f>0*(1+Emprunteur!$F$8)^$B20</f>
        <v>0</v>
      </c>
      <c r="Q20" s="165">
        <f>0*(1+Emprunteur!$F$9)^$B20</f>
        <v>0</v>
      </c>
      <c r="R20" s="165">
        <f>0*(1+Emprunteur!$F$10)^$B20</f>
        <v>0</v>
      </c>
      <c r="S20" s="108">
        <f t="shared" si="5"/>
        <v>113809.32804332895</v>
      </c>
      <c r="T20" s="157">
        <v>1</v>
      </c>
      <c r="U20" s="157">
        <v>1</v>
      </c>
      <c r="V20" s="108">
        <f>(MAX(MIN(Paramètres!$B$9,S20/T20),0)*Paramètres!$C$9+MAX(MIN(Paramètres!$B$10,S20/T20)-Paramètres!$B$9,0)*Paramètres!$C$10+MAX(MIN(Paramètres!$B$11,S20/T20)-Paramètres!$B$10,0)*Paramètres!$C$11+MAX(MIN(Paramètres!$B$12,S20/T20)-Paramètres!$B$11,0)*Paramètres!$C$12+MAX(MIN(Paramètres!$B$13,S20/T20)-Paramètres!$B$12,0)*Paramètres!$C$13)*T20</f>
        <v>31612.834497764867</v>
      </c>
      <c r="W20" s="108">
        <f>(MAX(MIN(Paramètres!$B$9,S20/U20),0)*Paramètres!$C$9+MAX(MIN(Paramètres!$B$10,S20/U20)-Paramètres!$B$9,0)*Paramètres!$C$10+MAX(MIN(Paramètres!$B$11,S20/U20)-Paramètres!$B$10,0)*Paramètres!$C$11+MAX(MIN(Paramètres!$B$12,S20/U20)-Paramètres!$B$11,0)*Paramètres!$C$12+MAX(MIN(Paramètres!$B$13,S20/U20)-Paramètres!$B$12,0)*Paramètres!$C$13)*U20</f>
        <v>31612.834497764867</v>
      </c>
      <c r="X20" s="108">
        <f>MAX(V20,W20-Paramètres!$E$13*(T20-U20)*2)+MAX(P20,0)*Paramètres!$E$9+MAX(Q20,0)*Paramètres!$E$9+MAX(R20*Paramètres!$E$12,Paramètres!$E$11)</f>
        <v>32757.834497764867</v>
      </c>
      <c r="Y20" s="126">
        <f>(C20-SUM(D20:N20)+MIN(Y19,0))*(B20&lt;=Simulation!$F$24)</f>
        <v>0</v>
      </c>
      <c r="Z20" s="108">
        <f>(MAX(MIN(Paramètres!$B$9,(O20+MAX(P20,0)+MAX(Q20+Y20,0)+R20)/T20),0)*Paramètres!$C$9+MAX(MIN(Paramètres!$B$10,(O20+MAX(P20,0)+MAX(Q20+Y20,0)+R20)/T20)-Paramètres!$B$9,0)*Paramètres!$C$10+MAX(MIN(Paramètres!$B$11,(O20+MAX(P20,0)+MAX(Q20+Y20,0)+R20)/T20)-Paramètres!$B$10,0)*Paramètres!$C$11+MAX(MIN(Paramètres!$B$12,(O20+MAX(P20,0)+MAX(Q20+Y20,0)+R20)/T20)-Paramètres!$B$11,0)*Paramètres!$C$12+MAX(MIN(Paramètres!$B$13,(O20+MAX(P20,0)+MAX(Q20+Y20,0)+R20)/T20)-Paramètres!$B$12,0)*Paramètres!$C$13)*T20</f>
        <v>31612.834497764867</v>
      </c>
      <c r="AA20" s="108">
        <f>(MAX(MIN(Paramètres!$B$9,(O20+MAX(P20,0)+MAX(Q20+Y20,0)+R20)/U20),0)*Paramètres!$C$9+MAX(MIN(Paramètres!$B$10,(O20+MAX(P20,0)+MAX(Q20+Y20,0)+R20)/U20)-Paramètres!$B$9,0)*Paramètres!$C$10+MAX(MIN(Paramètres!$B$11,(O20+MAX(P20,0)+MAX(Q20+Y20,0)+R20)/U20)-Paramètres!$B$10,0)*Paramètres!$C$11+MAX(MIN(Paramètres!$B$12,(O20+MAX(P20,0)+MAX(Q20+Y20,0)+R20)/U20)-Paramètres!$B$11,0)*Paramètres!$C$12+MAX(MIN(Paramètres!$B$13,(O20+MAX(P20,0)+MAX(Q20+Y20,0)+R20)/U20)-Paramètres!$B$12,0)*Paramètres!$C$13)*U20</f>
        <v>31612.834497764867</v>
      </c>
      <c r="AB20" s="108">
        <f>MAX(Z20,AA20-Paramètres!$E$13*(T20-U20)*2)+MAX(P20,0)*Paramètres!$E$9+MAX(Q20+Y20,0)*Paramètres!$E$9+MAX(R20*Paramètres!$E$12,Paramètres!$E$11)</f>
        <v>32757.834497764867</v>
      </c>
      <c r="AC20" s="108">
        <f t="shared" si="6"/>
        <v>0</v>
      </c>
      <c r="AD20" s="149">
        <f t="shared" si="1"/>
        <v>0</v>
      </c>
      <c r="AE20" s="108">
        <f>(MAX(MIN(Paramètres!$B$9,(O20+MAX(P20,0)+MAX(Q20+AD20,0)+R20)/T20),0)*Paramètres!$C$9+MAX(MIN(Paramètres!$B$10,(O20+MAX(P20,0)+MAX(Q20+AD20,0)+R20)/T20)-Paramètres!$B$9,0)*Paramètres!$C$10+MAX(MIN(Paramètres!$B$11,(O20+MAX(P20,0)+MAX(Q20+AD20,0)+R20)/T20)-Paramètres!$B$10,0)*Paramètres!$C$11+MAX(MIN(Paramètres!$B$12,(O20+MAX(P20,0)+MAX(Q20+AD20,0)+R20)/T20)-Paramètres!$B$11,0)*Paramètres!$C$12+MAX(MIN(Paramètres!$B$13,(O20+MAX(P20,0)+MAX(Q20+AD20,0)+R20)/T20)-Paramètres!$B$12,0)*Paramètres!$C$13)*T20</f>
        <v>31612.834497764867</v>
      </c>
      <c r="AF20" s="108">
        <f>(MAX(MIN(Paramètres!$B$9,(O20+MAX(P20,0)+MAX(Q20+AD20,0)+R20)/U20),0)*Paramètres!$C$9+MAX(MIN(Paramètres!$B$10,(O20+MAX(P20,0)+MAX(Q20+AD20,0)+R20)/U20)-Paramètres!$B$9,0)*Paramètres!$C$10+MAX(MIN(Paramètres!$B$11,(O20+MAX(P20,0)+MAX(Q20+AD20,0)+R20)/U20)-Paramètres!$B$10,0)*Paramètres!$C$11+MAX(MIN(Paramètres!$B$12,(O20+MAX(P20,0)+MAX(Q20+AD20,0)+R20)/U20)-Paramètres!$B$11,0)*Paramètres!$C$12+MAX(MIN(Paramètres!$B$13,(O20+MAX(P20,0)+MAX(Q20+AD20,0)+R20)/U20)-Paramètres!$B$12,0)*Paramètres!$C$13)*U20</f>
        <v>31612.834497764867</v>
      </c>
      <c r="AG20" s="108">
        <f>MAX(AE20,AF20-Paramètres!$E$13*(T20-U20)*2)+MAX(P20,0)*Paramètres!$E$9+MAX(Q20+AD20,0)*Paramètres!$E$9+MAX(R20*Paramètres!$E$12,Paramètres!$E$11)</f>
        <v>32757.834497764867</v>
      </c>
      <c r="AH20" s="150">
        <f t="shared" si="7"/>
        <v>0</v>
      </c>
      <c r="AI20" s="149">
        <f t="shared" si="8"/>
        <v>0</v>
      </c>
      <c r="AJ20" s="108">
        <f>(MAX(MIN(Paramètres!$B$9,(O20+MAX(P20,0)+MAX(Q20+AI20,0)+R20)/T20),0)*Paramètres!$C$9+MAX(MIN(Paramètres!$B$10,(O20+MAX(P20,0)+MAX(Q20+AI20,0)+R20)/T20)-Paramètres!$B$9,0)*Paramètres!$C$10+MAX(MIN(Paramètres!$B$11,(O20+MAX(P20,0)+MAX(Q20+AI20,0)+R20)/T20)-Paramètres!$B$10,0)*Paramètres!$C$11+MAX(MIN(Paramètres!$B$12,(O20+MAX(P20,0)+MAX(Q20+AI20,0)+R20)/T20)-Paramètres!$B$11,0)*Paramètres!$C$12+MAX(MIN(Paramètres!$B$13,(O20+MAX(P20,0)+MAX(Q20+AI20,0)+R20)/T20)-Paramètres!$B$12,0)*Paramètres!$C$13)*T20</f>
        <v>31612.834497764867</v>
      </c>
      <c r="AK20" s="108">
        <f>(MAX(MIN(Paramètres!$B$9,(O20+MAX(P20,0)+MAX(Q20+AI20,0)+R20)/U20),0)*Paramètres!$C$9+MAX(MIN(Paramètres!$B$10,(O20+MAX(P20,0)+MAX(Q20+AI20,0)+R20)/U20)-Paramètres!$B$9,0)*Paramètres!$C$10+MAX(MIN(Paramètres!$B$11,(O20+MAX(P20,0)+MAX(Q20+AI20,0)+R20)/U20)-Paramètres!$B$10,0)*Paramètres!$C$11+MAX(MIN(Paramètres!$B$12,(O20+MAX(P20,0)+MAX(Q20+AI20,0)+R20)/U20)-Paramètres!$B$11,0)*Paramètres!$C$12+MAX(MIN(Paramètres!$B$13,(O20+MAX(P20,0)+MAX(Q20+AI20,0)+R20)/U20)-Paramètres!$B$12,0)*Paramètres!$C$13)*U20</f>
        <v>31612.834497764867</v>
      </c>
      <c r="AL20" s="108">
        <f>MAX(AJ20,AK20-Paramètres!$E$13*(T20-U20)*2)+MAX(P20,0)*Paramètres!$E$9+MAX(Q20+AI20,0)*Paramètres!$E$9+MAX(R20*Paramètres!$E$12,Paramètres!$E$11)</f>
        <v>32757.834497764867</v>
      </c>
      <c r="AM20" s="150">
        <f>MAX(AL20-11%/9*Simulation!$C$7*(B20&lt;=9),0)-X20</f>
        <v>0</v>
      </c>
      <c r="AN20" s="149">
        <f>MAX(MAX(C20-D20,0)-SUM(E20:H20),-MIN(SUM(O20:R20),Paramètres!$E$19+MAX(P20,0)))</f>
        <v>0</v>
      </c>
      <c r="AO20" s="108">
        <f t="shared" si="18"/>
        <v>0</v>
      </c>
      <c r="AP20" s="108">
        <f t="shared" si="22"/>
        <v>0</v>
      </c>
      <c r="AQ20" s="108">
        <f t="shared" si="9"/>
        <v>0</v>
      </c>
      <c r="AR20" s="108">
        <f t="shared" si="10"/>
        <v>0</v>
      </c>
      <c r="AS20" s="108">
        <f>(MAX(MIN(Paramètres!$B$9,(O20+P20+AQ20+MAX(Q20,0)+R20)/T20),0)*Paramètres!$C$9+MAX(MIN(Paramètres!$B$10,(O20+P20+AQ20+MAX(Q20,0)+R20)/T20)-Paramètres!$B$9,0)*Paramètres!$C$10+MAX(MIN(Paramètres!$B$11,(O20+P20+AQ20+MAX(Q20,0)+R20)/T20)-Paramètres!$B$10,0)*Paramètres!$C$11+MAX(MIN(Paramètres!$B$12,(O20+P20+AQ20+MAX(Q20,0)+R20)/T20)-Paramètres!$B$11,0)*Paramètres!$C$12+MAX(MIN(Paramètres!$B$13,(O20+P20+AQ20+MAX(Q20,0)+R20)/T20)-Paramètres!$B$12,0)*Paramètres!$C$13)*T20</f>
        <v>31612.834497764867</v>
      </c>
      <c r="AT20" s="108">
        <f>(MAX(MIN(Paramètres!$B$9,(O20+P20+AQ20+MAX(Q20,0)+R20)/U20),0)*Paramètres!$C$9+MAX(MIN(Paramètres!$B$10,(O20+P20+AQ20+MAX(Q20,0)+R20)/U20)-Paramètres!$B$9,0)*Paramètres!$C$10+MAX(MIN(Paramètres!$B$11,(O20+P20+AQ20+MAX(Q20,0)+R20)/U20)-Paramètres!$B$10,0)*Paramètres!$C$11+MAX(MIN(Paramètres!$B$12,(O20+P20+AQ20+MAX(Q20,0)+R20)/U20)-Paramètres!$B$11,0)*Paramètres!$C$12+MAX(MIN(Paramètres!$B$13,(O20+P20+AQ20+MAX(Q20,0)+R20)/U20)-Paramètres!$B$12,0)*Paramètres!$C$13)*U20</f>
        <v>31612.834497764867</v>
      </c>
      <c r="AU20" s="108">
        <f>MAX(AS20,AT20-Paramètres!$E$13*(T20-U20)*2)+MAX(P20+AQ20,0)*Paramètres!$E$9+MAX(Q20,0)*Paramètres!$E$9+MAX(R20*Paramètres!$E$12,Paramètres!$E$11)</f>
        <v>32757.834497764867</v>
      </c>
      <c r="AV20" s="150">
        <f t="shared" si="2"/>
        <v>0</v>
      </c>
      <c r="AW20" s="108">
        <f t="shared" si="3"/>
        <v>0</v>
      </c>
      <c r="AX20" s="108">
        <f>(MAX(MIN(Paramètres!$B$9,(O20+MAX(P20+AW20,0)+MAX(Q20,0)+R20)/T20),0)*Paramètres!$C$9+MAX(MIN(Paramètres!$B$10,(O20+MAX(P20+AW20,0)+MAX(Q20,0)+R20)/T20)-Paramètres!$B$9,0)*Paramètres!$C$10+MAX(MIN(Paramètres!$B$11,(O20+MAX(P20+AW20,0)+MAX(Q20,0)+R20)/T20)-Paramètres!$B$10,0)*Paramètres!$C$11+MAX(MIN(Paramètres!$B$12,(O20+MAX(P20+AW20,0)+MAX(Q20,0)+R20)/T20)-Paramètres!$B$11,0)*Paramètres!$C$12+MAX(MIN(Paramètres!$B$13,(O20+MAX(P20+AW20,0)+MAX(Q20,0)+R20)/T20)-Paramètres!$B$12,0)*Paramètres!$C$13)*T20</f>
        <v>31612.834497764867</v>
      </c>
      <c r="AY20" s="108">
        <f>(MAX(MIN(Paramètres!$B$9,(O20+MAX(P20+AW20,0)+MAX(Q20,0)+R20)/U20),0)*Paramètres!$C$9+MAX(MIN(Paramètres!$B$10,(O20+MAX(P20+AW20,0)+MAX(Q20,0)+R20)/U20)-Paramètres!$B$9,0)*Paramètres!$C$10+MAX(MIN(Paramètres!$B$11,(O20+MAX(P20+AW20,0)+MAX(Q20,0)+R20)/U20)-Paramètres!$B$10,0)*Paramètres!$C$11+MAX(MIN(Paramètres!$B$12,(O20+MAX(P20+AW20,0)+MAX(Q20,0)+R20)/U20)-Paramètres!$B$11,0)*Paramètres!$C$12+MAX(MIN(Paramètres!$B$13,(O20+MAX(P20+AW20,0)+MAX(Q20,0)+R20)/U20)-Paramètres!$B$12,0)*Paramètres!$C$13)*U20</f>
        <v>31612.834497764867</v>
      </c>
      <c r="AZ20" s="108">
        <f>MAX(AX20,AY20-Paramètres!$E$13*(T20-U20)*2)+MAX(P20+AW20,0)*Paramètres!$E$9+MAX(Q20,0)*Paramètres!$E$9+MAX(R20*Paramètres!$E$12,Paramètres!$E$11)</f>
        <v>32757.834497764867</v>
      </c>
      <c r="BA20" s="108">
        <f t="shared" si="4"/>
        <v>0</v>
      </c>
      <c r="BB20" s="149">
        <f>MAX(MAX(C20-D20,0)-SUM(E20:H20),-MIN(SUM(O20:R20),Paramètres!$E$19+MAX(P20,0)))</f>
        <v>0</v>
      </c>
      <c r="BC20" s="108">
        <f t="shared" si="20"/>
        <v>0</v>
      </c>
      <c r="BD20" s="108">
        <f t="shared" si="23"/>
        <v>-1.8189894035458565E-12</v>
      </c>
      <c r="BE20" s="108">
        <f t="shared" si="11"/>
        <v>0</v>
      </c>
      <c r="BF20" s="108">
        <f t="shared" si="12"/>
        <v>0</v>
      </c>
      <c r="BG20" s="108">
        <f>(MAX(MIN(Paramètres!$B$9,(O20+P20+BE20+MAX(Q20,0)+R20)/T20),0)*Paramètres!$C$9+MAX(MIN(Paramètres!$B$10,(O20+P20+BE20+MAX(Q20,0)+R20)/T20)-Paramètres!$B$9,0)*Paramètres!$C$10+MAX(MIN(Paramètres!$B$11,(O20+P20+BE20+MAX(Q20,0)+R20)/T20)-Paramètres!$B$10,0)*Paramètres!$C$11+MAX(MIN(Paramètres!$B$12,(O20+P20+BE20+MAX(Q20,0)+R20)/T20)-Paramètres!$B$11,0)*Paramètres!$C$12+MAX(MIN(Paramètres!$B$13,(O20+P20+BE20+MAX(Q20,0)+R20)/T20)-Paramètres!$B$12,0)*Paramètres!$C$13)*T20</f>
        <v>31612.834497764867</v>
      </c>
      <c r="BH20" s="108">
        <f>(MAX(MIN(Paramètres!$B$9,(O20+P20+BE20+MAX(Q20,0)+R20)/U20),0)*Paramètres!$C$9+MAX(MIN(Paramètres!$B$10,(O20+P20+BE20+MAX(Q20,0)+R20)/U20)-Paramètres!$B$9,0)*Paramètres!$C$10+MAX(MIN(Paramètres!$B$11,(O20+P20+BE20+MAX(Q20,0)+R20)/U20)-Paramètres!$B$10,0)*Paramètres!$C$11+MAX(MIN(Paramètres!$B$12,(O20+P20+BE20+MAX(Q20,0)+R20)/U20)-Paramètres!$B$11,0)*Paramètres!$C$12+MAX(MIN(Paramètres!$B$13,(O20+P20+BE20+MAX(Q20,0)+R20)/U20)-Paramètres!$B$12,0)*Paramètres!$C$13)*U20</f>
        <v>31612.834497764867</v>
      </c>
      <c r="BI20" s="108">
        <f>MAX(BG20,BH20-Paramètres!$E$13*(T20-U20)*2)+MAX(P20+BE20,0)*Paramètres!$E$9+MAX(Q20,0)*Paramètres!$E$9+MAX(R20*Paramètres!$E$12,Paramètres!$E$11)</f>
        <v>32757.834497764867</v>
      </c>
      <c r="BJ20" s="150">
        <f>MAX(BI20-IFERROR(VLOOKUP(B20,Paramètres!$B$28:$C$39,2,FALSE),0)*MIN(MIN((Simulation!$C$7+Simulation!$C$12+Simulation!$C$8+Simulation!$C$10)/Simulation!$C$28,Paramètres!$C$26)*Simulation!$C$28,Paramètres!$C$25),0)-X20</f>
        <v>0</v>
      </c>
      <c r="BK20" s="108">
        <f t="shared" si="13"/>
        <v>0</v>
      </c>
      <c r="BL20" s="108">
        <f>(MAX(MIN(Paramètres!$B$9,(O20+MAX(P20+BK20,0)+MAX(Q20,0)+R20)/T20),0)*Paramètres!$C$9+MAX(MIN(Paramètres!$B$10,(O20+MAX(P20+BK20,0)+MAX(Q20,0)+R20)/T20)-Paramètres!$B$9,0)*Paramètres!$C$10+MAX(MIN(Paramètres!$B$11,(O20+MAX(P20+BK20,0)+MAX(Q20,0)+R20)/T20)-Paramètres!$B$10,0)*Paramètres!$C$11+MAX(MIN(Paramètres!$B$12,(O20+MAX(P20+BK20,0)+MAX(Q20,0)+R20)/T20)-Paramètres!$B$11,0)*Paramètres!$C$12+MAX(MIN(Paramètres!$B$13,(O20+MAX(P20+BK20,0)+MAX(Q20,0)+R20)/T20)-Paramètres!$B$12,0)*Paramètres!$C$13)*T20</f>
        <v>31612.834497764867</v>
      </c>
      <c r="BM20" s="108">
        <f>(MAX(MIN(Paramètres!$B$9,(O20+MAX(P20+BK20,0)+MAX(Q20,0)+R20)/U20),0)*Paramètres!$C$9+MAX(MIN(Paramètres!$B$10,(O20+MAX(P20+BK20,0)+MAX(Q20,0)+R20)/U20)-Paramètres!$B$9,0)*Paramètres!$C$10+MAX(MIN(Paramètres!$B$11,(O20+MAX(P20+BK20,0)+MAX(Q20,0)+R20)/U20)-Paramètres!$B$10,0)*Paramètres!$C$11+MAX(MIN(Paramètres!$B$12,(O20+MAX(P20+BK20,0)+MAX(Q20,0)+R20)/U20)-Paramètres!$B$11,0)*Paramètres!$C$12+MAX(MIN(Paramètres!$B$13,(O20+MAX(P20+BK20,0)+MAX(Q20,0)+R20)/U20)-Paramètres!$B$12,0)*Paramètres!$C$13)*U20</f>
        <v>31612.834497764867</v>
      </c>
      <c r="BN20" s="108">
        <f>MAX(BL20,BM20-Paramètres!$E$13*(T20-U20)*2)+MAX(P20+BK20,0)*Paramètres!$E$9+MAX(Q20,0)*Paramètres!$E$9+MAX(R20*Paramètres!$E$12,Paramètres!$E$11)</f>
        <v>32757.834497764867</v>
      </c>
      <c r="BO20" s="108">
        <f>MAX(BN20-IFERROR(VLOOKUP(B20,Paramètres!$B$28:$C$39,2,FALSE),0)*MIN(MIN((Simulation!$C$7+Simulation!$C$12+Simulation!$C$8+Simulation!$C$10)/Simulation!$C$28,Paramètres!$C$26)*Simulation!$C$28,Paramètres!$C$25),0)-X20</f>
        <v>0</v>
      </c>
      <c r="BP20" s="126">
        <f t="shared" si="14"/>
        <v>0</v>
      </c>
      <c r="BQ20" s="108">
        <f t="shared" si="15"/>
        <v>0</v>
      </c>
      <c r="BR20" s="108">
        <f t="shared" si="21"/>
        <v>0</v>
      </c>
      <c r="BS20" s="108">
        <f t="shared" si="19"/>
        <v>0</v>
      </c>
      <c r="BT20" s="108">
        <f t="shared" si="16"/>
        <v>0</v>
      </c>
      <c r="BU20" s="108">
        <f>(MAX(MIN(Paramètres!$B$9,(O20+MAX(P20,0)+MAX(Q20,0)+R20+BS20)/T20),0)*Paramètres!$C$9+MAX(MIN(Paramètres!$B$10,(O20+MAX(P20,0)+MAX(Q20,0)+R20+BS20)/T20)-Paramètres!$B$9,0)*Paramètres!$C$10+MAX(MIN(Paramètres!$B$11,(O20+MAX(P20,0)+MAX(Q20,0)+R20+BS20)/T20)-Paramètres!$B$10,0)*Paramètres!$C$11+MAX(MIN(Paramètres!$B$12,(O20+MAX(P20,0)+MAX(Q20,0)+R20+BS20)/T20)-Paramètres!$B$11,0)*Paramètres!$C$12+MAX(MIN(Paramètres!$B$13,(O20+MAX(P20,0)+MAX(Q20,0)+R20+BS20)/T20)-Paramètres!$B$12,0)*Paramètres!$C$13)*T20</f>
        <v>31612.834497764867</v>
      </c>
      <c r="BV20" s="108">
        <f>(MAX(MIN(Paramètres!$B$9,(O20+MAX(P20,0)+MAX(Q20,0)+R20+BS20)/U20),0)*Paramètres!$C$9+MAX(MIN(Paramètres!$B$10,(O20+MAX(P20,0)+MAX(Q20,0)+R20+BS20)/U20)-Paramètres!$B$9,0)*Paramètres!$C$10+MAX(MIN(Paramètres!$B$11,(O20+MAX(P20,0)+MAX(Q20,0)+R20+BS20)/U20)-Paramètres!$B$10,0)*Paramètres!$C$11+MAX(MIN(Paramètres!$B$12,(O20+MAX(P20,0)+MAX(Q20,0)+R20+BS20)/U20)-Paramètres!$B$11,0)*Paramètres!$C$12+MAX(MIN(Paramètres!$B$13,(O20+MAX(P20,0)+MAX(Q20,0)+R20+BS20)/U20)-Paramètres!$B$12,0)*Paramètres!$C$13)*U20</f>
        <v>31612.834497764867</v>
      </c>
      <c r="BW20" s="108">
        <f>MAX(BU20,BV20-Paramètres!$E$13*(T20-U20)*2)+MAX(P20,0)*Paramètres!$E$9+MAX(Q20,0)*Paramètres!$E$9+MAX((R20+BS20)*Paramètres!$E$12,Paramètres!$E$11)</f>
        <v>32757.834497764867</v>
      </c>
      <c r="BX20" s="108">
        <f t="shared" si="17"/>
        <v>0</v>
      </c>
      <c r="BY20" s="149">
        <f>(C20-SUM(D20:N20)+MIN(BY19,0))*(B20&lt;=Simulation!$F$24)</f>
        <v>0</v>
      </c>
      <c r="BZ20" s="108">
        <f>(Simulation!$F$22-(Simulation!$C$13-SUM($I$8:$N$37)))*(B20=Simulation!$F$24)</f>
        <v>0</v>
      </c>
      <c r="CA20" s="108">
        <f>MAX(MIN(BY20+BZ20,Paramètres!$B$17)*Paramètres!$C$17+MAX(MIN(BY20+BZ20,Paramètres!$B$18)-Paramètres!$B$17,0)*Paramètres!$C$18+MAX(MIN(BY20+BZ20,Paramètres!$B$19)-Paramètres!$B$18,0)*Paramètres!$C$19,0)</f>
        <v>0</v>
      </c>
      <c r="CB20" s="150">
        <f>MAX(MIN(BY20,Paramètres!$B$17)*Paramètres!$C$17+MAX(MIN(BY20,Paramètres!$B$18)-Paramètres!$B$17,0)*Paramètres!$C$18+MAX(MIN(BY20,Paramètres!$B$19)-Paramètres!$B$18,0)*Paramètres!$C$19,0)</f>
        <v>0</v>
      </c>
      <c r="CC20" s="108">
        <f>(C20-SUM(D20:N20)+MIN(CC19,0))*(B20&lt;=Simulation!$F$24)</f>
        <v>0</v>
      </c>
      <c r="CD20" s="108">
        <f>(Simulation!$F$22-(Simulation!$C$13-SUM($I$8:$N$37)))*(B20=Simulation!$F$24)</f>
        <v>0</v>
      </c>
      <c r="CE20" s="108">
        <f>MAX(MIN(CC20+CD20,Paramètres!$B$17)*Paramètres!$C$17+MAX(MIN(CC20+CD20,Paramètres!$B$18)-Paramètres!$B$17,0)*Paramètres!$C$18+MAX(MIN(CC20+CD20,Paramètres!$B$19)-Paramètres!$B$18,0)*Paramètres!$C$19,0)</f>
        <v>0</v>
      </c>
      <c r="CF20" s="108">
        <f>MAX(MIN(CC20,Paramètres!$B$17)*Paramètres!$C$17+MAX(MIN(CC20,Paramètres!$B$18)-Paramètres!$B$17,0)*Paramètres!$C$18+MAX(MIN(CC20,Paramètres!$B$19)-Paramètres!$B$18,0)*Paramètres!$C$19,0)</f>
        <v>0</v>
      </c>
      <c r="CG20" s="108">
        <f>MAX(CC20+CD20-CF20,0)*(1-Paramètres!$E$17)*Paramètres!$E$18</f>
        <v>0</v>
      </c>
      <c r="CH20" s="54">
        <f>MAX(CC20-CF20,0)*(1-Paramètres!$E$17)*Paramètres!$E$18</f>
        <v>0</v>
      </c>
      <c r="CI20" s="127">
        <f ca="1">OFFSET($AC20,0,VLOOKUP(Simulation!$C$27,Simulation!$Q$5:$R$14,2,FALSE))</f>
        <v>0</v>
      </c>
      <c r="CK20" s="167"/>
      <c r="CL20" s="167"/>
      <c r="CM20" s="167"/>
      <c r="CN20" s="167"/>
      <c r="CO20" s="167"/>
      <c r="CP20" s="167"/>
      <c r="CQ20" s="167"/>
      <c r="CR20" s="167"/>
      <c r="CS20" s="167"/>
      <c r="CT20" s="167"/>
      <c r="CU20" s="167"/>
      <c r="CV20" s="167"/>
    </row>
    <row r="21" spans="2:100" x14ac:dyDescent="0.2">
      <c r="B21" s="40">
        <f t="shared" si="0"/>
        <v>14</v>
      </c>
      <c r="C21" s="143">
        <f>SUMPRODUCT('Détail trésorerie'!$H$8:$H$367*('Détail trésorerie'!$B$8:$B$367&gt;$B20*12)*('Détail trésorerie'!$B$8:$B$367&lt;=$B21*12))</f>
        <v>0</v>
      </c>
      <c r="D21" s="143">
        <f>SUMPRODUCT('Détail trésorerie'!$E$8:$E$367*('Détail trésorerie'!$B$8:$B$367&gt;$B20*12)*('Détail trésorerie'!$B$8:$B$367&lt;=$B21*12))</f>
        <v>0</v>
      </c>
      <c r="E21" s="144">
        <f>SUMPRODUCT('Détail trésorerie'!$J$8:$J$367*('Détail trésorerie'!$B$8:$B$367&gt;$B20*12)*('Détail trésorerie'!$B$8:$B$367&lt;=$B21*12))</f>
        <v>0</v>
      </c>
      <c r="F21" s="144">
        <f>SUMPRODUCT('Détail trésorerie'!$K$8:$K$367*('Détail trésorerie'!$B$8:$B$367&gt;$B20*12)*('Détail trésorerie'!$B$8:$B$367&lt;=$B21*12))</f>
        <v>0</v>
      </c>
      <c r="G21" s="144">
        <f>SUMPRODUCT('Détail trésorerie'!$L$8:$L$367*('Détail trésorerie'!$B$8:$B$367&gt;$B20*12)*('Détail trésorerie'!$B$8:$B$367&lt;=$B21*12))</f>
        <v>0</v>
      </c>
      <c r="H21" s="145">
        <f>SUMPRODUCT('Détail trésorerie'!$M$8:$M$367*('Détail trésorerie'!$B$8:$B$367&gt;$B20*12)*('Détail trésorerie'!$B$8:$B$367&lt;=$B21*12))</f>
        <v>0</v>
      </c>
      <c r="I21" s="126">
        <f>MAX(MIN(Paramètres!$E$3*Simulation!$C$7*Paramètres!$C$3,Simulation!$C$7*Paramètres!$E$3-SUM(I$8:$I20)),0)*(B21&lt;=Simulation!$F$24)</f>
        <v>0</v>
      </c>
      <c r="J21" s="108">
        <f>MAX(MIN(Paramètres!$E$4*Simulation!$C$7*Paramètres!$C$4,Simulation!$C$7*Paramètres!$E$4-SUM($J$8:J20)),0)*(B21&lt;=Simulation!$F$24)</f>
        <v>0</v>
      </c>
      <c r="K21" s="108">
        <f>MAX(MIN(Paramètres!$E$5*Simulation!$C$8*Paramètres!$C$5,Paramètres!$E$5*Simulation!$C$8-SUM($K$8:K20)),0)*(B21&lt;=Simulation!$F$24)</f>
        <v>0</v>
      </c>
      <c r="L21" s="108">
        <v>0</v>
      </c>
      <c r="M21" s="108">
        <v>0</v>
      </c>
      <c r="N21" s="108">
        <f>MAX(MIN(Paramètres!$C$6*(Simulation!$C$10+Simulation!$C$11+Simulation!$C$12),(Simulation!$C$10+Simulation!$C$11+Simulation!$C$12)-SUM(N$8:N20)),0)*(B21&lt;=Simulation!$F$24)</f>
        <v>0</v>
      </c>
      <c r="O21" s="148">
        <f>25000*8/2*(1+Emprunteur!$F$7)^$B21</f>
        <v>114947.42132376226</v>
      </c>
      <c r="P21" s="165">
        <f>0*(1+Emprunteur!$F$8)^$B21</f>
        <v>0</v>
      </c>
      <c r="Q21" s="165">
        <f>0*(1+Emprunteur!$F$9)^$B21</f>
        <v>0</v>
      </c>
      <c r="R21" s="165">
        <f>0*(1+Emprunteur!$F$10)^$B21</f>
        <v>0</v>
      </c>
      <c r="S21" s="108">
        <f t="shared" si="5"/>
        <v>114947.42132376226</v>
      </c>
      <c r="T21" s="157">
        <v>1</v>
      </c>
      <c r="U21" s="157">
        <v>1</v>
      </c>
      <c r="V21" s="108">
        <f>(MAX(MIN(Paramètres!$B$9,S21/T21),0)*Paramètres!$C$9+MAX(MIN(Paramètres!$B$10,S21/T21)-Paramètres!$B$9,0)*Paramètres!$C$10+MAX(MIN(Paramètres!$B$11,S21/T21)-Paramètres!$B$10,0)*Paramètres!$C$11+MAX(MIN(Paramètres!$B$12,S21/T21)-Paramètres!$B$11,0)*Paramètres!$C$12+MAX(MIN(Paramètres!$B$13,S21/T21)-Paramètres!$B$12,0)*Paramètres!$C$13)*T21</f>
        <v>32079.452742742527</v>
      </c>
      <c r="W21" s="108">
        <f>(MAX(MIN(Paramètres!$B$9,S21/U21),0)*Paramètres!$C$9+MAX(MIN(Paramètres!$B$10,S21/U21)-Paramètres!$B$9,0)*Paramètres!$C$10+MAX(MIN(Paramètres!$B$11,S21/U21)-Paramètres!$B$10,0)*Paramètres!$C$11+MAX(MIN(Paramètres!$B$12,S21/U21)-Paramètres!$B$11,0)*Paramètres!$C$12+MAX(MIN(Paramètres!$B$13,S21/U21)-Paramètres!$B$12,0)*Paramètres!$C$13)*U21</f>
        <v>32079.452742742527</v>
      </c>
      <c r="X21" s="108">
        <f>MAX(V21,W21-Paramètres!$E$13*(T21-U21)*2)+MAX(P21,0)*Paramètres!$E$9+MAX(Q21,0)*Paramètres!$E$9+MAX(R21*Paramètres!$E$12,Paramètres!$E$11)</f>
        <v>33224.452742742527</v>
      </c>
      <c r="Y21" s="126">
        <f>(C21-SUM(D21:N21)+MIN(Y20,0))*(B21&lt;=Simulation!$F$24)</f>
        <v>0</v>
      </c>
      <c r="Z21" s="108">
        <f>(MAX(MIN(Paramètres!$B$9,(O21+MAX(P21,0)+MAX(Q21+Y21,0)+R21)/T21),0)*Paramètres!$C$9+MAX(MIN(Paramètres!$B$10,(O21+MAX(P21,0)+MAX(Q21+Y21,0)+R21)/T21)-Paramètres!$B$9,0)*Paramètres!$C$10+MAX(MIN(Paramètres!$B$11,(O21+MAX(P21,0)+MAX(Q21+Y21,0)+R21)/T21)-Paramètres!$B$10,0)*Paramètres!$C$11+MAX(MIN(Paramètres!$B$12,(O21+MAX(P21,0)+MAX(Q21+Y21,0)+R21)/T21)-Paramètres!$B$11,0)*Paramètres!$C$12+MAX(MIN(Paramètres!$B$13,(O21+MAX(P21,0)+MAX(Q21+Y21,0)+R21)/T21)-Paramètres!$B$12,0)*Paramètres!$C$13)*T21</f>
        <v>32079.452742742527</v>
      </c>
      <c r="AA21" s="108">
        <f>(MAX(MIN(Paramètres!$B$9,(O21+MAX(P21,0)+MAX(Q21+Y21,0)+R21)/U21),0)*Paramètres!$C$9+MAX(MIN(Paramètres!$B$10,(O21+MAX(P21,0)+MAX(Q21+Y21,0)+R21)/U21)-Paramètres!$B$9,0)*Paramètres!$C$10+MAX(MIN(Paramètres!$B$11,(O21+MAX(P21,0)+MAX(Q21+Y21,0)+R21)/U21)-Paramètres!$B$10,0)*Paramètres!$C$11+MAX(MIN(Paramètres!$B$12,(O21+MAX(P21,0)+MAX(Q21+Y21,0)+R21)/U21)-Paramètres!$B$11,0)*Paramètres!$C$12+MAX(MIN(Paramètres!$B$13,(O21+MAX(P21,0)+MAX(Q21+Y21,0)+R21)/U21)-Paramètres!$B$12,0)*Paramètres!$C$13)*U21</f>
        <v>32079.452742742527</v>
      </c>
      <c r="AB21" s="108">
        <f>MAX(Z21,AA21-Paramètres!$E$13*(T21-U21)*2)+MAX(P21,0)*Paramètres!$E$9+MAX(Q21+Y21,0)*Paramètres!$E$9+MAX(R21*Paramètres!$E$12,Paramètres!$E$11)</f>
        <v>33224.452742742527</v>
      </c>
      <c r="AC21" s="108">
        <f t="shared" si="6"/>
        <v>0</v>
      </c>
      <c r="AD21" s="149">
        <f t="shared" si="1"/>
        <v>0</v>
      </c>
      <c r="AE21" s="108">
        <f>(MAX(MIN(Paramètres!$B$9,(O21+MAX(P21,0)+MAX(Q21+AD21,0)+R21)/T21),0)*Paramètres!$C$9+MAX(MIN(Paramètres!$B$10,(O21+MAX(P21,0)+MAX(Q21+AD21,0)+R21)/T21)-Paramètres!$B$9,0)*Paramètres!$C$10+MAX(MIN(Paramètres!$B$11,(O21+MAX(P21,0)+MAX(Q21+AD21,0)+R21)/T21)-Paramètres!$B$10,0)*Paramètres!$C$11+MAX(MIN(Paramètres!$B$12,(O21+MAX(P21,0)+MAX(Q21+AD21,0)+R21)/T21)-Paramètres!$B$11,0)*Paramètres!$C$12+MAX(MIN(Paramètres!$B$13,(O21+MAX(P21,0)+MAX(Q21+AD21,0)+R21)/T21)-Paramètres!$B$12,0)*Paramètres!$C$13)*T21</f>
        <v>32079.452742742527</v>
      </c>
      <c r="AF21" s="108">
        <f>(MAX(MIN(Paramètres!$B$9,(O21+MAX(P21,0)+MAX(Q21+AD21,0)+R21)/U21),0)*Paramètres!$C$9+MAX(MIN(Paramètres!$B$10,(O21+MAX(P21,0)+MAX(Q21+AD21,0)+R21)/U21)-Paramètres!$B$9,0)*Paramètres!$C$10+MAX(MIN(Paramètres!$B$11,(O21+MAX(P21,0)+MAX(Q21+AD21,0)+R21)/U21)-Paramètres!$B$10,0)*Paramètres!$C$11+MAX(MIN(Paramètres!$B$12,(O21+MAX(P21,0)+MAX(Q21+AD21,0)+R21)/U21)-Paramètres!$B$11,0)*Paramètres!$C$12+MAX(MIN(Paramètres!$B$13,(O21+MAX(P21,0)+MAX(Q21+AD21,0)+R21)/U21)-Paramètres!$B$12,0)*Paramètres!$C$13)*U21</f>
        <v>32079.452742742527</v>
      </c>
      <c r="AG21" s="108">
        <f>MAX(AE21,AF21-Paramètres!$E$13*(T21-U21)*2)+MAX(P21,0)*Paramètres!$E$9+MAX(Q21+AD21,0)*Paramètres!$E$9+MAX(R21*Paramètres!$E$12,Paramètres!$E$11)</f>
        <v>33224.452742742527</v>
      </c>
      <c r="AH21" s="150">
        <f t="shared" si="7"/>
        <v>0</v>
      </c>
      <c r="AI21" s="149">
        <f t="shared" si="8"/>
        <v>0</v>
      </c>
      <c r="AJ21" s="108">
        <f>(MAX(MIN(Paramètres!$B$9,(O21+MAX(P21,0)+MAX(Q21+AI21,0)+R21)/T21),0)*Paramètres!$C$9+MAX(MIN(Paramètres!$B$10,(O21+MAX(P21,0)+MAX(Q21+AI21,0)+R21)/T21)-Paramètres!$B$9,0)*Paramètres!$C$10+MAX(MIN(Paramètres!$B$11,(O21+MAX(P21,0)+MAX(Q21+AI21,0)+R21)/T21)-Paramètres!$B$10,0)*Paramètres!$C$11+MAX(MIN(Paramètres!$B$12,(O21+MAX(P21,0)+MAX(Q21+AI21,0)+R21)/T21)-Paramètres!$B$11,0)*Paramètres!$C$12+MAX(MIN(Paramètres!$B$13,(O21+MAX(P21,0)+MAX(Q21+AI21,0)+R21)/T21)-Paramètres!$B$12,0)*Paramètres!$C$13)*T21</f>
        <v>32079.452742742527</v>
      </c>
      <c r="AK21" s="108">
        <f>(MAX(MIN(Paramètres!$B$9,(O21+MAX(P21,0)+MAX(Q21+AI21,0)+R21)/U21),0)*Paramètres!$C$9+MAX(MIN(Paramètres!$B$10,(O21+MAX(P21,0)+MAX(Q21+AI21,0)+R21)/U21)-Paramètres!$B$9,0)*Paramètres!$C$10+MAX(MIN(Paramètres!$B$11,(O21+MAX(P21,0)+MAX(Q21+AI21,0)+R21)/U21)-Paramètres!$B$10,0)*Paramètres!$C$11+MAX(MIN(Paramètres!$B$12,(O21+MAX(P21,0)+MAX(Q21+AI21,0)+R21)/U21)-Paramètres!$B$11,0)*Paramètres!$C$12+MAX(MIN(Paramètres!$B$13,(O21+MAX(P21,0)+MAX(Q21+AI21,0)+R21)/U21)-Paramètres!$B$12,0)*Paramètres!$C$13)*U21</f>
        <v>32079.452742742527</v>
      </c>
      <c r="AL21" s="108">
        <f>MAX(AJ21,AK21-Paramètres!$E$13*(T21-U21)*2)+MAX(P21,0)*Paramètres!$E$9+MAX(Q21+AI21,0)*Paramètres!$E$9+MAX(R21*Paramètres!$E$12,Paramètres!$E$11)</f>
        <v>33224.452742742527</v>
      </c>
      <c r="AM21" s="150">
        <f>MAX(AL21-11%/9*Simulation!$C$7*(B21&lt;=9),0)-X21</f>
        <v>0</v>
      </c>
      <c r="AN21" s="149">
        <f>MAX(MAX(C21-D21,0)-SUM(E21:H21),-MIN(SUM(O21:R21),Paramètres!$E$19+MAX(P21,0)))</f>
        <v>0</v>
      </c>
      <c r="AO21" s="108">
        <f t="shared" si="18"/>
        <v>0</v>
      </c>
      <c r="AP21" s="108">
        <f t="shared" si="22"/>
        <v>0</v>
      </c>
      <c r="AQ21" s="108">
        <f t="shared" si="9"/>
        <v>0</v>
      </c>
      <c r="AR21" s="108">
        <f t="shared" si="10"/>
        <v>0</v>
      </c>
      <c r="AS21" s="108">
        <f>(MAX(MIN(Paramètres!$B$9,(O21+P21+AQ21+MAX(Q21,0)+R21)/T21),0)*Paramètres!$C$9+MAX(MIN(Paramètres!$B$10,(O21+P21+AQ21+MAX(Q21,0)+R21)/T21)-Paramètres!$B$9,0)*Paramètres!$C$10+MAX(MIN(Paramètres!$B$11,(O21+P21+AQ21+MAX(Q21,0)+R21)/T21)-Paramètres!$B$10,0)*Paramètres!$C$11+MAX(MIN(Paramètres!$B$12,(O21+P21+AQ21+MAX(Q21,0)+R21)/T21)-Paramètres!$B$11,0)*Paramètres!$C$12+MAX(MIN(Paramètres!$B$13,(O21+P21+AQ21+MAX(Q21,0)+R21)/T21)-Paramètres!$B$12,0)*Paramètres!$C$13)*T21</f>
        <v>32079.452742742527</v>
      </c>
      <c r="AT21" s="108">
        <f>(MAX(MIN(Paramètres!$B$9,(O21+P21+AQ21+MAX(Q21,0)+R21)/U21),0)*Paramètres!$C$9+MAX(MIN(Paramètres!$B$10,(O21+P21+AQ21+MAX(Q21,0)+R21)/U21)-Paramètres!$B$9,0)*Paramètres!$C$10+MAX(MIN(Paramètres!$B$11,(O21+P21+AQ21+MAX(Q21,0)+R21)/U21)-Paramètres!$B$10,0)*Paramètres!$C$11+MAX(MIN(Paramètres!$B$12,(O21+P21+AQ21+MAX(Q21,0)+R21)/U21)-Paramètres!$B$11,0)*Paramètres!$C$12+MAX(MIN(Paramètres!$B$13,(O21+P21+AQ21+MAX(Q21,0)+R21)/U21)-Paramètres!$B$12,0)*Paramètres!$C$13)*U21</f>
        <v>32079.452742742527</v>
      </c>
      <c r="AU21" s="108">
        <f>MAX(AS21,AT21-Paramètres!$E$13*(T21-U21)*2)+MAX(P21+AQ21,0)*Paramètres!$E$9+MAX(Q21,0)*Paramètres!$E$9+MAX(R21*Paramètres!$E$12,Paramètres!$E$11)</f>
        <v>33224.452742742527</v>
      </c>
      <c r="AV21" s="150">
        <f t="shared" si="2"/>
        <v>0</v>
      </c>
      <c r="AW21" s="108">
        <f t="shared" si="3"/>
        <v>0</v>
      </c>
      <c r="AX21" s="108">
        <f>(MAX(MIN(Paramètres!$B$9,(O21+MAX(P21+AW21,0)+MAX(Q21,0)+R21)/T21),0)*Paramètres!$C$9+MAX(MIN(Paramètres!$B$10,(O21+MAX(P21+AW21,0)+MAX(Q21,0)+R21)/T21)-Paramètres!$B$9,0)*Paramètres!$C$10+MAX(MIN(Paramètres!$B$11,(O21+MAX(P21+AW21,0)+MAX(Q21,0)+R21)/T21)-Paramètres!$B$10,0)*Paramètres!$C$11+MAX(MIN(Paramètres!$B$12,(O21+MAX(P21+AW21,0)+MAX(Q21,0)+R21)/T21)-Paramètres!$B$11,0)*Paramètres!$C$12+MAX(MIN(Paramètres!$B$13,(O21+MAX(P21+AW21,0)+MAX(Q21,0)+R21)/T21)-Paramètres!$B$12,0)*Paramètres!$C$13)*T21</f>
        <v>32079.452742742527</v>
      </c>
      <c r="AY21" s="108">
        <f>(MAX(MIN(Paramètres!$B$9,(O21+MAX(P21+AW21,0)+MAX(Q21,0)+R21)/U21),0)*Paramètres!$C$9+MAX(MIN(Paramètres!$B$10,(O21+MAX(P21+AW21,0)+MAX(Q21,0)+R21)/U21)-Paramètres!$B$9,0)*Paramètres!$C$10+MAX(MIN(Paramètres!$B$11,(O21+MAX(P21+AW21,0)+MAX(Q21,0)+R21)/U21)-Paramètres!$B$10,0)*Paramètres!$C$11+MAX(MIN(Paramètres!$B$12,(O21+MAX(P21+AW21,0)+MAX(Q21,0)+R21)/U21)-Paramètres!$B$11,0)*Paramètres!$C$12+MAX(MIN(Paramètres!$B$13,(O21+MAX(P21+AW21,0)+MAX(Q21,0)+R21)/U21)-Paramètres!$B$12,0)*Paramètres!$C$13)*U21</f>
        <v>32079.452742742527</v>
      </c>
      <c r="AZ21" s="108">
        <f>MAX(AX21,AY21-Paramètres!$E$13*(T21-U21)*2)+MAX(P21+AW21,0)*Paramètres!$E$9+MAX(Q21,0)*Paramètres!$E$9+MAX(R21*Paramètres!$E$12,Paramètres!$E$11)</f>
        <v>33224.452742742527</v>
      </c>
      <c r="BA21" s="108">
        <f t="shared" si="4"/>
        <v>0</v>
      </c>
      <c r="BB21" s="149">
        <f>MAX(MAX(C21-D21,0)-SUM(E21:H21),-MIN(SUM(O21:R21),Paramètres!$E$19+MAX(P21,0)))</f>
        <v>0</v>
      </c>
      <c r="BC21" s="108">
        <f t="shared" si="20"/>
        <v>0</v>
      </c>
      <c r="BD21" s="108">
        <f t="shared" si="23"/>
        <v>-1.8189894035458565E-12</v>
      </c>
      <c r="BE21" s="108">
        <f t="shared" si="11"/>
        <v>0</v>
      </c>
      <c r="BF21" s="108">
        <f t="shared" si="12"/>
        <v>0</v>
      </c>
      <c r="BG21" s="108">
        <f>(MAX(MIN(Paramètres!$B$9,(O21+P21+BE21+MAX(Q21,0)+R21)/T21),0)*Paramètres!$C$9+MAX(MIN(Paramètres!$B$10,(O21+P21+BE21+MAX(Q21,0)+R21)/T21)-Paramètres!$B$9,0)*Paramètres!$C$10+MAX(MIN(Paramètres!$B$11,(O21+P21+BE21+MAX(Q21,0)+R21)/T21)-Paramètres!$B$10,0)*Paramètres!$C$11+MAX(MIN(Paramètres!$B$12,(O21+P21+BE21+MAX(Q21,0)+R21)/T21)-Paramètres!$B$11,0)*Paramètres!$C$12+MAX(MIN(Paramètres!$B$13,(O21+P21+BE21+MAX(Q21,0)+R21)/T21)-Paramètres!$B$12,0)*Paramètres!$C$13)*T21</f>
        <v>32079.452742742527</v>
      </c>
      <c r="BH21" s="108">
        <f>(MAX(MIN(Paramètres!$B$9,(O21+P21+BE21+MAX(Q21,0)+R21)/U21),0)*Paramètres!$C$9+MAX(MIN(Paramètres!$B$10,(O21+P21+BE21+MAX(Q21,0)+R21)/U21)-Paramètres!$B$9,0)*Paramètres!$C$10+MAX(MIN(Paramètres!$B$11,(O21+P21+BE21+MAX(Q21,0)+R21)/U21)-Paramètres!$B$10,0)*Paramètres!$C$11+MAX(MIN(Paramètres!$B$12,(O21+P21+BE21+MAX(Q21,0)+R21)/U21)-Paramètres!$B$11,0)*Paramètres!$C$12+MAX(MIN(Paramètres!$B$13,(O21+P21+BE21+MAX(Q21,0)+R21)/U21)-Paramètres!$B$12,0)*Paramètres!$C$13)*U21</f>
        <v>32079.452742742527</v>
      </c>
      <c r="BI21" s="108">
        <f>MAX(BG21,BH21-Paramètres!$E$13*(T21-U21)*2)+MAX(P21+BE21,0)*Paramètres!$E$9+MAX(Q21,0)*Paramètres!$E$9+MAX(R21*Paramètres!$E$12,Paramètres!$E$11)</f>
        <v>33224.452742742527</v>
      </c>
      <c r="BJ21" s="150">
        <f>MAX(BI21-IFERROR(VLOOKUP(B21,Paramètres!$B$28:$C$39,2,FALSE),0)*MIN(MIN((Simulation!$C$7+Simulation!$C$12+Simulation!$C$8+Simulation!$C$10)/Simulation!$C$28,Paramètres!$C$26)*Simulation!$C$28,Paramètres!$C$25),0)-X21</f>
        <v>0</v>
      </c>
      <c r="BK21" s="108">
        <f t="shared" si="13"/>
        <v>0</v>
      </c>
      <c r="BL21" s="108">
        <f>(MAX(MIN(Paramètres!$B$9,(O21+MAX(P21+BK21,0)+MAX(Q21,0)+R21)/T21),0)*Paramètres!$C$9+MAX(MIN(Paramètres!$B$10,(O21+MAX(P21+BK21,0)+MAX(Q21,0)+R21)/T21)-Paramètres!$B$9,0)*Paramètres!$C$10+MAX(MIN(Paramètres!$B$11,(O21+MAX(P21+BK21,0)+MAX(Q21,0)+R21)/T21)-Paramètres!$B$10,0)*Paramètres!$C$11+MAX(MIN(Paramètres!$B$12,(O21+MAX(P21+BK21,0)+MAX(Q21,0)+R21)/T21)-Paramètres!$B$11,0)*Paramètres!$C$12+MAX(MIN(Paramètres!$B$13,(O21+MAX(P21+BK21,0)+MAX(Q21,0)+R21)/T21)-Paramètres!$B$12,0)*Paramètres!$C$13)*T21</f>
        <v>32079.452742742527</v>
      </c>
      <c r="BM21" s="108">
        <f>(MAX(MIN(Paramètres!$B$9,(O21+MAX(P21+BK21,0)+MAX(Q21,0)+R21)/U21),0)*Paramètres!$C$9+MAX(MIN(Paramètres!$B$10,(O21+MAX(P21+BK21,0)+MAX(Q21,0)+R21)/U21)-Paramètres!$B$9,0)*Paramètres!$C$10+MAX(MIN(Paramètres!$B$11,(O21+MAX(P21+BK21,0)+MAX(Q21,0)+R21)/U21)-Paramètres!$B$10,0)*Paramètres!$C$11+MAX(MIN(Paramètres!$B$12,(O21+MAX(P21+BK21,0)+MAX(Q21,0)+R21)/U21)-Paramètres!$B$11,0)*Paramètres!$C$12+MAX(MIN(Paramètres!$B$13,(O21+MAX(P21+BK21,0)+MAX(Q21,0)+R21)/U21)-Paramètres!$B$12,0)*Paramètres!$C$13)*U21</f>
        <v>32079.452742742527</v>
      </c>
      <c r="BN21" s="108">
        <f>MAX(BL21,BM21-Paramètres!$E$13*(T21-U21)*2)+MAX(P21+BK21,0)*Paramètres!$E$9+MAX(Q21,0)*Paramètres!$E$9+MAX(R21*Paramètres!$E$12,Paramètres!$E$11)</f>
        <v>33224.452742742527</v>
      </c>
      <c r="BO21" s="108">
        <f>MAX(BN21-IFERROR(VLOOKUP(B21,Paramètres!$B$28:$C$39,2,FALSE),0)*MIN(MIN((Simulation!$C$7+Simulation!$C$12+Simulation!$C$8+Simulation!$C$10)/Simulation!$C$28,Paramètres!$C$26)*Simulation!$C$28,Paramètres!$C$25),0)-X21</f>
        <v>0</v>
      </c>
      <c r="BP21" s="126">
        <f t="shared" si="14"/>
        <v>0</v>
      </c>
      <c r="BQ21" s="108">
        <f t="shared" si="15"/>
        <v>0</v>
      </c>
      <c r="BR21" s="108">
        <f t="shared" si="21"/>
        <v>0</v>
      </c>
      <c r="BS21" s="108">
        <f t="shared" si="19"/>
        <v>0</v>
      </c>
      <c r="BT21" s="108">
        <f t="shared" si="16"/>
        <v>0</v>
      </c>
      <c r="BU21" s="108">
        <f>(MAX(MIN(Paramètres!$B$9,(O21+MAX(P21,0)+MAX(Q21,0)+R21+BS21)/T21),0)*Paramètres!$C$9+MAX(MIN(Paramètres!$B$10,(O21+MAX(P21,0)+MAX(Q21,0)+R21+BS21)/T21)-Paramètres!$B$9,0)*Paramètres!$C$10+MAX(MIN(Paramètres!$B$11,(O21+MAX(P21,0)+MAX(Q21,0)+R21+BS21)/T21)-Paramètres!$B$10,0)*Paramètres!$C$11+MAX(MIN(Paramètres!$B$12,(O21+MAX(P21,0)+MAX(Q21,0)+R21+BS21)/T21)-Paramètres!$B$11,0)*Paramètres!$C$12+MAX(MIN(Paramètres!$B$13,(O21+MAX(P21,0)+MAX(Q21,0)+R21+BS21)/T21)-Paramètres!$B$12,0)*Paramètres!$C$13)*T21</f>
        <v>32079.452742742527</v>
      </c>
      <c r="BV21" s="108">
        <f>(MAX(MIN(Paramètres!$B$9,(O21+MAX(P21,0)+MAX(Q21,0)+R21+BS21)/U21),0)*Paramètres!$C$9+MAX(MIN(Paramètres!$B$10,(O21+MAX(P21,0)+MAX(Q21,0)+R21+BS21)/U21)-Paramètres!$B$9,0)*Paramètres!$C$10+MAX(MIN(Paramètres!$B$11,(O21+MAX(P21,0)+MAX(Q21,0)+R21+BS21)/U21)-Paramètres!$B$10,0)*Paramètres!$C$11+MAX(MIN(Paramètres!$B$12,(O21+MAX(P21,0)+MAX(Q21,0)+R21+BS21)/U21)-Paramètres!$B$11,0)*Paramètres!$C$12+MAX(MIN(Paramètres!$B$13,(O21+MAX(P21,0)+MAX(Q21,0)+R21+BS21)/U21)-Paramètres!$B$12,0)*Paramètres!$C$13)*U21</f>
        <v>32079.452742742527</v>
      </c>
      <c r="BW21" s="108">
        <f>MAX(BU21,BV21-Paramètres!$E$13*(T21-U21)*2)+MAX(P21,0)*Paramètres!$E$9+MAX(Q21,0)*Paramètres!$E$9+MAX((R21+BS21)*Paramètres!$E$12,Paramètres!$E$11)</f>
        <v>33224.452742742527</v>
      </c>
      <c r="BX21" s="108">
        <f t="shared" si="17"/>
        <v>0</v>
      </c>
      <c r="BY21" s="149">
        <f>(C21-SUM(D21:N21)+MIN(BY20,0))*(B21&lt;=Simulation!$F$24)</f>
        <v>0</v>
      </c>
      <c r="BZ21" s="108">
        <f>(Simulation!$F$22-(Simulation!$C$13-SUM($I$8:$N$37)))*(B21=Simulation!$F$24)</f>
        <v>0</v>
      </c>
      <c r="CA21" s="108">
        <f>MAX(MIN(BY21+BZ21,Paramètres!$B$17)*Paramètres!$C$17+MAX(MIN(BY21+BZ21,Paramètres!$B$18)-Paramètres!$B$17,0)*Paramètres!$C$18+MAX(MIN(BY21+BZ21,Paramètres!$B$19)-Paramètres!$B$18,0)*Paramètres!$C$19,0)</f>
        <v>0</v>
      </c>
      <c r="CB21" s="150">
        <f>MAX(MIN(BY21,Paramètres!$B$17)*Paramètres!$C$17+MAX(MIN(BY21,Paramètres!$B$18)-Paramètres!$B$17,0)*Paramètres!$C$18+MAX(MIN(BY21,Paramètres!$B$19)-Paramètres!$B$18,0)*Paramètres!$C$19,0)</f>
        <v>0</v>
      </c>
      <c r="CC21" s="108">
        <f>(C21-SUM(D21:N21)+MIN(CC20,0))*(B21&lt;=Simulation!$F$24)</f>
        <v>0</v>
      </c>
      <c r="CD21" s="108">
        <f>(Simulation!$F$22-(Simulation!$C$13-SUM($I$8:$N$37)))*(B21=Simulation!$F$24)</f>
        <v>0</v>
      </c>
      <c r="CE21" s="108">
        <f>MAX(MIN(CC21+CD21,Paramètres!$B$17)*Paramètres!$C$17+MAX(MIN(CC21+CD21,Paramètres!$B$18)-Paramètres!$B$17,0)*Paramètres!$C$18+MAX(MIN(CC21+CD21,Paramètres!$B$19)-Paramètres!$B$18,0)*Paramètres!$C$19,0)</f>
        <v>0</v>
      </c>
      <c r="CF21" s="108">
        <f>MAX(MIN(CC21,Paramètres!$B$17)*Paramètres!$C$17+MAX(MIN(CC21,Paramètres!$B$18)-Paramètres!$B$17,0)*Paramètres!$C$18+MAX(MIN(CC21,Paramètres!$B$19)-Paramètres!$B$18,0)*Paramètres!$C$19,0)</f>
        <v>0</v>
      </c>
      <c r="CG21" s="108">
        <f>MAX(CC21+CD21-CF21,0)*(1-Paramètres!$E$17)*Paramètres!$E$18</f>
        <v>0</v>
      </c>
      <c r="CH21" s="54">
        <f>MAX(CC21-CF21,0)*(1-Paramètres!$E$17)*Paramètres!$E$18</f>
        <v>0</v>
      </c>
      <c r="CI21" s="127">
        <f ca="1">OFFSET($AC21,0,VLOOKUP(Simulation!$C$27,Simulation!$Q$5:$R$14,2,FALSE))</f>
        <v>0</v>
      </c>
      <c r="CK21" s="167"/>
      <c r="CL21" s="167"/>
      <c r="CM21" s="167"/>
      <c r="CN21" s="167"/>
      <c r="CO21" s="167"/>
      <c r="CP21" s="167"/>
      <c r="CQ21" s="167"/>
      <c r="CR21" s="167"/>
      <c r="CS21" s="167"/>
      <c r="CT21" s="167"/>
      <c r="CU21" s="167"/>
      <c r="CV21" s="167"/>
    </row>
    <row r="22" spans="2:100" x14ac:dyDescent="0.2">
      <c r="B22" s="40">
        <f t="shared" si="0"/>
        <v>15</v>
      </c>
      <c r="C22" s="143">
        <f>SUMPRODUCT('Détail trésorerie'!$H$8:$H$367*('Détail trésorerie'!$B$8:$B$367&gt;$B21*12)*('Détail trésorerie'!$B$8:$B$367&lt;=$B22*12))</f>
        <v>0</v>
      </c>
      <c r="D22" s="143">
        <f>SUMPRODUCT('Détail trésorerie'!$E$8:$E$367*('Détail trésorerie'!$B$8:$B$367&gt;$B21*12)*('Détail trésorerie'!$B$8:$B$367&lt;=$B22*12))</f>
        <v>0</v>
      </c>
      <c r="E22" s="144">
        <f>SUMPRODUCT('Détail trésorerie'!$J$8:$J$367*('Détail trésorerie'!$B$8:$B$367&gt;$B21*12)*('Détail trésorerie'!$B$8:$B$367&lt;=$B22*12))</f>
        <v>0</v>
      </c>
      <c r="F22" s="144">
        <f>SUMPRODUCT('Détail trésorerie'!$K$8:$K$367*('Détail trésorerie'!$B$8:$B$367&gt;$B21*12)*('Détail trésorerie'!$B$8:$B$367&lt;=$B22*12))</f>
        <v>0</v>
      </c>
      <c r="G22" s="144">
        <f>SUMPRODUCT('Détail trésorerie'!$L$8:$L$367*('Détail trésorerie'!$B$8:$B$367&gt;$B21*12)*('Détail trésorerie'!$B$8:$B$367&lt;=$B22*12))</f>
        <v>0</v>
      </c>
      <c r="H22" s="145">
        <f>SUMPRODUCT('Détail trésorerie'!$M$8:$M$367*('Détail trésorerie'!$B$8:$B$367&gt;$B21*12)*('Détail trésorerie'!$B$8:$B$367&lt;=$B22*12))</f>
        <v>0</v>
      </c>
      <c r="I22" s="126">
        <f>MAX(MIN(Paramètres!$E$3*Simulation!$C$7*Paramètres!$C$3,Simulation!$C$7*Paramètres!$E$3-SUM(I$8:$I21)),0)*(B22&lt;=Simulation!$F$24)</f>
        <v>0</v>
      </c>
      <c r="J22" s="108">
        <f>MAX(MIN(Paramètres!$E$4*Simulation!$C$7*Paramètres!$C$4,Simulation!$C$7*Paramètres!$E$4-SUM($J$8:J21)),0)*(B22&lt;=Simulation!$F$24)</f>
        <v>0</v>
      </c>
      <c r="K22" s="108">
        <f>MAX(MIN(Paramètres!$E$5*Simulation!$C$8*Paramètres!$C$5,Paramètres!$E$5*Simulation!$C$8-SUM($K$8:K21)),0)*(B22&lt;=Simulation!$F$24)</f>
        <v>0</v>
      </c>
      <c r="L22" s="108">
        <v>0</v>
      </c>
      <c r="M22" s="108">
        <v>0</v>
      </c>
      <c r="N22" s="108">
        <f>MAX(MIN(Paramètres!$C$6*(Simulation!$C$10+Simulation!$C$11+Simulation!$C$12),(Simulation!$C$10+Simulation!$C$11+Simulation!$C$12)-SUM(N$8:N21)),0)*(B22&lt;=Simulation!$F$24)</f>
        <v>0</v>
      </c>
      <c r="O22" s="148">
        <f>25000*8/2*(1+Emprunteur!$F$7)^$B22</f>
        <v>116096.89553699984</v>
      </c>
      <c r="P22" s="165">
        <f>0*(1+Emprunteur!$F$8)^$B22</f>
        <v>0</v>
      </c>
      <c r="Q22" s="165">
        <f>0*(1+Emprunteur!$F$9)^$B22</f>
        <v>0</v>
      </c>
      <c r="R22" s="165">
        <f>0*(1+Emprunteur!$F$10)^$B22</f>
        <v>0</v>
      </c>
      <c r="S22" s="108">
        <f t="shared" si="5"/>
        <v>116096.89553699984</v>
      </c>
      <c r="T22" s="157">
        <v>1</v>
      </c>
      <c r="U22" s="157">
        <v>1</v>
      </c>
      <c r="V22" s="108">
        <f>(MAX(MIN(Paramètres!$B$9,S22/T22),0)*Paramètres!$C$9+MAX(MIN(Paramètres!$B$10,S22/T22)-Paramètres!$B$9,0)*Paramètres!$C$10+MAX(MIN(Paramètres!$B$11,S22/T22)-Paramètres!$B$10,0)*Paramètres!$C$11+MAX(MIN(Paramètres!$B$12,S22/T22)-Paramètres!$B$11,0)*Paramètres!$C$12+MAX(MIN(Paramètres!$B$13,S22/T22)-Paramètres!$B$12,0)*Paramètres!$C$13)*T22</f>
        <v>32550.737170169934</v>
      </c>
      <c r="W22" s="108">
        <f>(MAX(MIN(Paramètres!$B$9,S22/U22),0)*Paramètres!$C$9+MAX(MIN(Paramètres!$B$10,S22/U22)-Paramètres!$B$9,0)*Paramètres!$C$10+MAX(MIN(Paramètres!$B$11,S22/U22)-Paramètres!$B$10,0)*Paramètres!$C$11+MAX(MIN(Paramètres!$B$12,S22/U22)-Paramètres!$B$11,0)*Paramètres!$C$12+MAX(MIN(Paramètres!$B$13,S22/U22)-Paramètres!$B$12,0)*Paramètres!$C$13)*U22</f>
        <v>32550.737170169934</v>
      </c>
      <c r="X22" s="108">
        <f>MAX(V22,W22-Paramètres!$E$13*(T22-U22)*2)+MAX(P22,0)*Paramètres!$E$9+MAX(Q22,0)*Paramètres!$E$9+MAX(R22*Paramètres!$E$12,Paramètres!$E$11)</f>
        <v>33695.73717016993</v>
      </c>
      <c r="Y22" s="126">
        <f>(C22-SUM(D22:N22)+MIN(Y21,0))*(B22&lt;=Simulation!$F$24)</f>
        <v>0</v>
      </c>
      <c r="Z22" s="108">
        <f>(MAX(MIN(Paramètres!$B$9,(O22+MAX(P22,0)+MAX(Q22+Y22,0)+R22)/T22),0)*Paramètres!$C$9+MAX(MIN(Paramètres!$B$10,(O22+MAX(P22,0)+MAX(Q22+Y22,0)+R22)/T22)-Paramètres!$B$9,0)*Paramètres!$C$10+MAX(MIN(Paramètres!$B$11,(O22+MAX(P22,0)+MAX(Q22+Y22,0)+R22)/T22)-Paramètres!$B$10,0)*Paramètres!$C$11+MAX(MIN(Paramètres!$B$12,(O22+MAX(P22,0)+MAX(Q22+Y22,0)+R22)/T22)-Paramètres!$B$11,0)*Paramètres!$C$12+MAX(MIN(Paramètres!$B$13,(O22+MAX(P22,0)+MAX(Q22+Y22,0)+R22)/T22)-Paramètres!$B$12,0)*Paramètres!$C$13)*T22</f>
        <v>32550.737170169934</v>
      </c>
      <c r="AA22" s="108">
        <f>(MAX(MIN(Paramètres!$B$9,(O22+MAX(P22,0)+MAX(Q22+Y22,0)+R22)/U22),0)*Paramètres!$C$9+MAX(MIN(Paramètres!$B$10,(O22+MAX(P22,0)+MAX(Q22+Y22,0)+R22)/U22)-Paramètres!$B$9,0)*Paramètres!$C$10+MAX(MIN(Paramètres!$B$11,(O22+MAX(P22,0)+MAX(Q22+Y22,0)+R22)/U22)-Paramètres!$B$10,0)*Paramètres!$C$11+MAX(MIN(Paramètres!$B$12,(O22+MAX(P22,0)+MAX(Q22+Y22,0)+R22)/U22)-Paramètres!$B$11,0)*Paramètres!$C$12+MAX(MIN(Paramètres!$B$13,(O22+MAX(P22,0)+MAX(Q22+Y22,0)+R22)/U22)-Paramètres!$B$12,0)*Paramètres!$C$13)*U22</f>
        <v>32550.737170169934</v>
      </c>
      <c r="AB22" s="108">
        <f>MAX(Z22,AA22-Paramètres!$E$13*(T22-U22)*2)+MAX(P22,0)*Paramètres!$E$9+MAX(Q22+Y22,0)*Paramètres!$E$9+MAX(R22*Paramètres!$E$12,Paramètres!$E$11)</f>
        <v>33695.73717016993</v>
      </c>
      <c r="AC22" s="108">
        <f t="shared" si="6"/>
        <v>0</v>
      </c>
      <c r="AD22" s="149">
        <f t="shared" si="1"/>
        <v>0</v>
      </c>
      <c r="AE22" s="108">
        <f>(MAX(MIN(Paramètres!$B$9,(O22+MAX(P22,0)+MAX(Q22+AD22,0)+R22)/T22),0)*Paramètres!$C$9+MAX(MIN(Paramètres!$B$10,(O22+MAX(P22,0)+MAX(Q22+AD22,0)+R22)/T22)-Paramètres!$B$9,0)*Paramètres!$C$10+MAX(MIN(Paramètres!$B$11,(O22+MAX(P22,0)+MAX(Q22+AD22,0)+R22)/T22)-Paramètres!$B$10,0)*Paramètres!$C$11+MAX(MIN(Paramètres!$B$12,(O22+MAX(P22,0)+MAX(Q22+AD22,0)+R22)/T22)-Paramètres!$B$11,0)*Paramètres!$C$12+MAX(MIN(Paramètres!$B$13,(O22+MAX(P22,0)+MAX(Q22+AD22,0)+R22)/T22)-Paramètres!$B$12,0)*Paramètres!$C$13)*T22</f>
        <v>32550.737170169934</v>
      </c>
      <c r="AF22" s="108">
        <f>(MAX(MIN(Paramètres!$B$9,(O22+MAX(P22,0)+MAX(Q22+AD22,0)+R22)/U22),0)*Paramètres!$C$9+MAX(MIN(Paramètres!$B$10,(O22+MAX(P22,0)+MAX(Q22+AD22,0)+R22)/U22)-Paramètres!$B$9,0)*Paramètres!$C$10+MAX(MIN(Paramètres!$B$11,(O22+MAX(P22,0)+MAX(Q22+AD22,0)+R22)/U22)-Paramètres!$B$10,0)*Paramètres!$C$11+MAX(MIN(Paramètres!$B$12,(O22+MAX(P22,0)+MAX(Q22+AD22,0)+R22)/U22)-Paramètres!$B$11,0)*Paramètres!$C$12+MAX(MIN(Paramètres!$B$13,(O22+MAX(P22,0)+MAX(Q22+AD22,0)+R22)/U22)-Paramètres!$B$12,0)*Paramètres!$C$13)*U22</f>
        <v>32550.737170169934</v>
      </c>
      <c r="AG22" s="108">
        <f>MAX(AE22,AF22-Paramètres!$E$13*(T22-U22)*2)+MAX(P22,0)*Paramètres!$E$9+MAX(Q22+AD22,0)*Paramètres!$E$9+MAX(R22*Paramètres!$E$12,Paramètres!$E$11)</f>
        <v>33695.73717016993</v>
      </c>
      <c r="AH22" s="150">
        <f t="shared" si="7"/>
        <v>0</v>
      </c>
      <c r="AI22" s="149">
        <f t="shared" si="8"/>
        <v>0</v>
      </c>
      <c r="AJ22" s="108">
        <f>(MAX(MIN(Paramètres!$B$9,(O22+MAX(P22,0)+MAX(Q22+AI22,0)+R22)/T22),0)*Paramètres!$C$9+MAX(MIN(Paramètres!$B$10,(O22+MAX(P22,0)+MAX(Q22+AI22,0)+R22)/T22)-Paramètres!$B$9,0)*Paramètres!$C$10+MAX(MIN(Paramètres!$B$11,(O22+MAX(P22,0)+MAX(Q22+AI22,0)+R22)/T22)-Paramètres!$B$10,0)*Paramètres!$C$11+MAX(MIN(Paramètres!$B$12,(O22+MAX(P22,0)+MAX(Q22+AI22,0)+R22)/T22)-Paramètres!$B$11,0)*Paramètres!$C$12+MAX(MIN(Paramètres!$B$13,(O22+MAX(P22,0)+MAX(Q22+AI22,0)+R22)/T22)-Paramètres!$B$12,0)*Paramètres!$C$13)*T22</f>
        <v>32550.737170169934</v>
      </c>
      <c r="AK22" s="108">
        <f>(MAX(MIN(Paramètres!$B$9,(O22+MAX(P22,0)+MAX(Q22+AI22,0)+R22)/U22),0)*Paramètres!$C$9+MAX(MIN(Paramètres!$B$10,(O22+MAX(P22,0)+MAX(Q22+AI22,0)+R22)/U22)-Paramètres!$B$9,0)*Paramètres!$C$10+MAX(MIN(Paramètres!$B$11,(O22+MAX(P22,0)+MAX(Q22+AI22,0)+R22)/U22)-Paramètres!$B$10,0)*Paramètres!$C$11+MAX(MIN(Paramètres!$B$12,(O22+MAX(P22,0)+MAX(Q22+AI22,0)+R22)/U22)-Paramètres!$B$11,0)*Paramètres!$C$12+MAX(MIN(Paramètres!$B$13,(O22+MAX(P22,0)+MAX(Q22+AI22,0)+R22)/U22)-Paramètres!$B$12,0)*Paramètres!$C$13)*U22</f>
        <v>32550.737170169934</v>
      </c>
      <c r="AL22" s="108">
        <f>MAX(AJ22,AK22-Paramètres!$E$13*(T22-U22)*2)+MAX(P22,0)*Paramètres!$E$9+MAX(Q22+AI22,0)*Paramètres!$E$9+MAX(R22*Paramètres!$E$12,Paramètres!$E$11)</f>
        <v>33695.73717016993</v>
      </c>
      <c r="AM22" s="150">
        <f>MAX(AL22-11%/9*Simulation!$C$7*(B22&lt;=9),0)-X22</f>
        <v>0</v>
      </c>
      <c r="AN22" s="149">
        <f>MAX(MAX(C22-D22,0)-SUM(E22:H22),-MIN(SUM(O22:R22),Paramètres!$E$19+MAX(P22,0)))</f>
        <v>0</v>
      </c>
      <c r="AO22" s="108">
        <f t="shared" si="18"/>
        <v>0</v>
      </c>
      <c r="AP22" s="108">
        <f t="shared" si="22"/>
        <v>-1.8189894035458565E-12</v>
      </c>
      <c r="AQ22" s="108">
        <f t="shared" si="9"/>
        <v>0</v>
      </c>
      <c r="AR22" s="108">
        <f t="shared" si="10"/>
        <v>0</v>
      </c>
      <c r="AS22" s="108">
        <f>(MAX(MIN(Paramètres!$B$9,(O22+P22+AQ22+MAX(Q22,0)+R22)/T22),0)*Paramètres!$C$9+MAX(MIN(Paramètres!$B$10,(O22+P22+AQ22+MAX(Q22,0)+R22)/T22)-Paramètres!$B$9,0)*Paramètres!$C$10+MAX(MIN(Paramètres!$B$11,(O22+P22+AQ22+MAX(Q22,0)+R22)/T22)-Paramètres!$B$10,0)*Paramètres!$C$11+MAX(MIN(Paramètres!$B$12,(O22+P22+AQ22+MAX(Q22,0)+R22)/T22)-Paramètres!$B$11,0)*Paramètres!$C$12+MAX(MIN(Paramètres!$B$13,(O22+P22+AQ22+MAX(Q22,0)+R22)/T22)-Paramètres!$B$12,0)*Paramètres!$C$13)*T22</f>
        <v>32550.737170169934</v>
      </c>
      <c r="AT22" s="108">
        <f>(MAX(MIN(Paramètres!$B$9,(O22+P22+AQ22+MAX(Q22,0)+R22)/U22),0)*Paramètres!$C$9+MAX(MIN(Paramètres!$B$10,(O22+P22+AQ22+MAX(Q22,0)+R22)/U22)-Paramètres!$B$9,0)*Paramètres!$C$10+MAX(MIN(Paramètres!$B$11,(O22+P22+AQ22+MAX(Q22,0)+R22)/U22)-Paramètres!$B$10,0)*Paramètres!$C$11+MAX(MIN(Paramètres!$B$12,(O22+P22+AQ22+MAX(Q22,0)+R22)/U22)-Paramètres!$B$11,0)*Paramètres!$C$12+MAX(MIN(Paramètres!$B$13,(O22+P22+AQ22+MAX(Q22,0)+R22)/U22)-Paramètres!$B$12,0)*Paramètres!$C$13)*U22</f>
        <v>32550.737170169934</v>
      </c>
      <c r="AU22" s="108">
        <f>MAX(AS22,AT22-Paramètres!$E$13*(T22-U22)*2)+MAX(P22+AQ22,0)*Paramètres!$E$9+MAX(Q22,0)*Paramètres!$E$9+MAX(R22*Paramètres!$E$12,Paramètres!$E$11)</f>
        <v>33695.73717016993</v>
      </c>
      <c r="AV22" s="150">
        <f t="shared" si="2"/>
        <v>0</v>
      </c>
      <c r="AW22" s="108">
        <f t="shared" si="3"/>
        <v>0</v>
      </c>
      <c r="AX22" s="108">
        <f>(MAX(MIN(Paramètres!$B$9,(O22+MAX(P22+AW22,0)+MAX(Q22,0)+R22)/T22),0)*Paramètres!$C$9+MAX(MIN(Paramètres!$B$10,(O22+MAX(P22+AW22,0)+MAX(Q22,0)+R22)/T22)-Paramètres!$B$9,0)*Paramètres!$C$10+MAX(MIN(Paramètres!$B$11,(O22+MAX(P22+AW22,0)+MAX(Q22,0)+R22)/T22)-Paramètres!$B$10,0)*Paramètres!$C$11+MAX(MIN(Paramètres!$B$12,(O22+MAX(P22+AW22,0)+MAX(Q22,0)+R22)/T22)-Paramètres!$B$11,0)*Paramètres!$C$12+MAX(MIN(Paramètres!$B$13,(O22+MAX(P22+AW22,0)+MAX(Q22,0)+R22)/T22)-Paramètres!$B$12,0)*Paramètres!$C$13)*T22</f>
        <v>32550.737170169934</v>
      </c>
      <c r="AY22" s="108">
        <f>(MAX(MIN(Paramètres!$B$9,(O22+MAX(P22+AW22,0)+MAX(Q22,0)+R22)/U22),0)*Paramètres!$C$9+MAX(MIN(Paramètres!$B$10,(O22+MAX(P22+AW22,0)+MAX(Q22,0)+R22)/U22)-Paramètres!$B$9,0)*Paramètres!$C$10+MAX(MIN(Paramètres!$B$11,(O22+MAX(P22+AW22,0)+MAX(Q22,0)+R22)/U22)-Paramètres!$B$10,0)*Paramètres!$C$11+MAX(MIN(Paramètres!$B$12,(O22+MAX(P22+AW22,0)+MAX(Q22,0)+R22)/U22)-Paramètres!$B$11,0)*Paramètres!$C$12+MAX(MIN(Paramètres!$B$13,(O22+MAX(P22+AW22,0)+MAX(Q22,0)+R22)/U22)-Paramètres!$B$12,0)*Paramètres!$C$13)*U22</f>
        <v>32550.737170169934</v>
      </c>
      <c r="AZ22" s="108">
        <f>MAX(AX22,AY22-Paramètres!$E$13*(T22-U22)*2)+MAX(P22+AW22,0)*Paramètres!$E$9+MAX(Q22,0)*Paramètres!$E$9+MAX(R22*Paramètres!$E$12,Paramètres!$E$11)</f>
        <v>33695.73717016993</v>
      </c>
      <c r="BA22" s="108">
        <f t="shared" si="4"/>
        <v>0</v>
      </c>
      <c r="BB22" s="149">
        <f>MAX(MAX(C22-D22,0)-SUM(E22:H22),-MIN(SUM(O22:R22),Paramètres!$E$19+MAX(P22,0)))</f>
        <v>0</v>
      </c>
      <c r="BC22" s="108">
        <f t="shared" si="20"/>
        <v>0</v>
      </c>
      <c r="BD22" s="108">
        <f t="shared" si="23"/>
        <v>-1.8189894035458565E-12</v>
      </c>
      <c r="BE22" s="108">
        <f t="shared" si="11"/>
        <v>0</v>
      </c>
      <c r="BF22" s="108">
        <f t="shared" si="12"/>
        <v>0</v>
      </c>
      <c r="BG22" s="108">
        <f>(MAX(MIN(Paramètres!$B$9,(O22+P22+BE22+MAX(Q22,0)+R22)/T22),0)*Paramètres!$C$9+MAX(MIN(Paramètres!$B$10,(O22+P22+BE22+MAX(Q22,0)+R22)/T22)-Paramètres!$B$9,0)*Paramètres!$C$10+MAX(MIN(Paramètres!$B$11,(O22+P22+BE22+MAX(Q22,0)+R22)/T22)-Paramètres!$B$10,0)*Paramètres!$C$11+MAX(MIN(Paramètres!$B$12,(O22+P22+BE22+MAX(Q22,0)+R22)/T22)-Paramètres!$B$11,0)*Paramètres!$C$12+MAX(MIN(Paramètres!$B$13,(O22+P22+BE22+MAX(Q22,0)+R22)/T22)-Paramètres!$B$12,0)*Paramètres!$C$13)*T22</f>
        <v>32550.737170169934</v>
      </c>
      <c r="BH22" s="108">
        <f>(MAX(MIN(Paramètres!$B$9,(O22+P22+BE22+MAX(Q22,0)+R22)/U22),0)*Paramètres!$C$9+MAX(MIN(Paramètres!$B$10,(O22+P22+BE22+MAX(Q22,0)+R22)/U22)-Paramètres!$B$9,0)*Paramètres!$C$10+MAX(MIN(Paramètres!$B$11,(O22+P22+BE22+MAX(Q22,0)+R22)/U22)-Paramètres!$B$10,0)*Paramètres!$C$11+MAX(MIN(Paramètres!$B$12,(O22+P22+BE22+MAX(Q22,0)+R22)/U22)-Paramètres!$B$11,0)*Paramètres!$C$12+MAX(MIN(Paramètres!$B$13,(O22+P22+BE22+MAX(Q22,0)+R22)/U22)-Paramètres!$B$12,0)*Paramètres!$C$13)*U22</f>
        <v>32550.737170169934</v>
      </c>
      <c r="BI22" s="108">
        <f>MAX(BG22,BH22-Paramètres!$E$13*(T22-U22)*2)+MAX(P22+BE22,0)*Paramètres!$E$9+MAX(Q22,0)*Paramètres!$E$9+MAX(R22*Paramètres!$E$12,Paramètres!$E$11)</f>
        <v>33695.73717016993</v>
      </c>
      <c r="BJ22" s="150">
        <f>MAX(BI22-IFERROR(VLOOKUP(B22,Paramètres!$B$28:$C$39,2,FALSE),0)*MIN(MIN((Simulation!$C$7+Simulation!$C$12+Simulation!$C$8+Simulation!$C$10)/Simulation!$C$28,Paramètres!$C$26)*Simulation!$C$28,Paramètres!$C$25),0)-X22</f>
        <v>0</v>
      </c>
      <c r="BK22" s="108">
        <f t="shared" si="13"/>
        <v>0</v>
      </c>
      <c r="BL22" s="108">
        <f>(MAX(MIN(Paramètres!$B$9,(O22+MAX(P22+BK22,0)+MAX(Q22,0)+R22)/T22),0)*Paramètres!$C$9+MAX(MIN(Paramètres!$B$10,(O22+MAX(P22+BK22,0)+MAX(Q22,0)+R22)/T22)-Paramètres!$B$9,0)*Paramètres!$C$10+MAX(MIN(Paramètres!$B$11,(O22+MAX(P22+BK22,0)+MAX(Q22,0)+R22)/T22)-Paramètres!$B$10,0)*Paramètres!$C$11+MAX(MIN(Paramètres!$B$12,(O22+MAX(P22+BK22,0)+MAX(Q22,0)+R22)/T22)-Paramètres!$B$11,0)*Paramètres!$C$12+MAX(MIN(Paramètres!$B$13,(O22+MAX(P22+BK22,0)+MAX(Q22,0)+R22)/T22)-Paramètres!$B$12,0)*Paramètres!$C$13)*T22</f>
        <v>32550.737170169934</v>
      </c>
      <c r="BM22" s="108">
        <f>(MAX(MIN(Paramètres!$B$9,(O22+MAX(P22+BK22,0)+MAX(Q22,0)+R22)/U22),0)*Paramètres!$C$9+MAX(MIN(Paramètres!$B$10,(O22+MAX(P22+BK22,0)+MAX(Q22,0)+R22)/U22)-Paramètres!$B$9,0)*Paramètres!$C$10+MAX(MIN(Paramètres!$B$11,(O22+MAX(P22+BK22,0)+MAX(Q22,0)+R22)/U22)-Paramètres!$B$10,0)*Paramètres!$C$11+MAX(MIN(Paramètres!$B$12,(O22+MAX(P22+BK22,0)+MAX(Q22,0)+R22)/U22)-Paramètres!$B$11,0)*Paramètres!$C$12+MAX(MIN(Paramètres!$B$13,(O22+MAX(P22+BK22,0)+MAX(Q22,0)+R22)/U22)-Paramètres!$B$12,0)*Paramètres!$C$13)*U22</f>
        <v>32550.737170169934</v>
      </c>
      <c r="BN22" s="108">
        <f>MAX(BL22,BM22-Paramètres!$E$13*(T22-U22)*2)+MAX(P22+BK22,0)*Paramètres!$E$9+MAX(Q22,0)*Paramètres!$E$9+MAX(R22*Paramètres!$E$12,Paramètres!$E$11)</f>
        <v>33695.73717016993</v>
      </c>
      <c r="BO22" s="108">
        <f>MAX(BN22-IFERROR(VLOOKUP(B22,Paramètres!$B$28:$C$39,2,FALSE),0)*MIN(MIN((Simulation!$C$7+Simulation!$C$12+Simulation!$C$8+Simulation!$C$10)/Simulation!$C$28,Paramètres!$C$26)*Simulation!$C$28,Paramètres!$C$25),0)-X22</f>
        <v>0</v>
      </c>
      <c r="BP22" s="126">
        <f t="shared" si="14"/>
        <v>0</v>
      </c>
      <c r="BQ22" s="108">
        <f t="shared" si="15"/>
        <v>0</v>
      </c>
      <c r="BR22" s="108">
        <f t="shared" si="21"/>
        <v>0</v>
      </c>
      <c r="BS22" s="108">
        <f t="shared" si="19"/>
        <v>0</v>
      </c>
      <c r="BT22" s="108">
        <f t="shared" si="16"/>
        <v>0</v>
      </c>
      <c r="BU22" s="108">
        <f>(MAX(MIN(Paramètres!$B$9,(O22+MAX(P22,0)+MAX(Q22,0)+R22+BS22)/T22),0)*Paramètres!$C$9+MAX(MIN(Paramètres!$B$10,(O22+MAX(P22,0)+MAX(Q22,0)+R22+BS22)/T22)-Paramètres!$B$9,0)*Paramètres!$C$10+MAX(MIN(Paramètres!$B$11,(O22+MAX(P22,0)+MAX(Q22,0)+R22+BS22)/T22)-Paramètres!$B$10,0)*Paramètres!$C$11+MAX(MIN(Paramètres!$B$12,(O22+MAX(P22,0)+MAX(Q22,0)+R22+BS22)/T22)-Paramètres!$B$11,0)*Paramètres!$C$12+MAX(MIN(Paramètres!$B$13,(O22+MAX(P22,0)+MAX(Q22,0)+R22+BS22)/T22)-Paramètres!$B$12,0)*Paramètres!$C$13)*T22</f>
        <v>32550.737170169934</v>
      </c>
      <c r="BV22" s="108">
        <f>(MAX(MIN(Paramètres!$B$9,(O22+MAX(P22,0)+MAX(Q22,0)+R22+BS22)/U22),0)*Paramètres!$C$9+MAX(MIN(Paramètres!$B$10,(O22+MAX(P22,0)+MAX(Q22,0)+R22+BS22)/U22)-Paramètres!$B$9,0)*Paramètres!$C$10+MAX(MIN(Paramètres!$B$11,(O22+MAX(P22,0)+MAX(Q22,0)+R22+BS22)/U22)-Paramètres!$B$10,0)*Paramètres!$C$11+MAX(MIN(Paramètres!$B$12,(O22+MAX(P22,0)+MAX(Q22,0)+R22+BS22)/U22)-Paramètres!$B$11,0)*Paramètres!$C$12+MAX(MIN(Paramètres!$B$13,(O22+MAX(P22,0)+MAX(Q22,0)+R22+BS22)/U22)-Paramètres!$B$12,0)*Paramètres!$C$13)*U22</f>
        <v>32550.737170169934</v>
      </c>
      <c r="BW22" s="108">
        <f>MAX(BU22,BV22-Paramètres!$E$13*(T22-U22)*2)+MAX(P22,0)*Paramètres!$E$9+MAX(Q22,0)*Paramètres!$E$9+MAX((R22+BS22)*Paramètres!$E$12,Paramètres!$E$11)</f>
        <v>33695.73717016993</v>
      </c>
      <c r="BX22" s="108">
        <f t="shared" si="17"/>
        <v>0</v>
      </c>
      <c r="BY22" s="149">
        <f>(C22-SUM(D22:N22)+MIN(BY21,0))*(B22&lt;=Simulation!$F$24)</f>
        <v>0</v>
      </c>
      <c r="BZ22" s="108">
        <f>(Simulation!$F$22-(Simulation!$C$13-SUM($I$8:$N$37)))*(B22=Simulation!$F$24)</f>
        <v>0</v>
      </c>
      <c r="CA22" s="108">
        <f>MAX(MIN(BY22+BZ22,Paramètres!$B$17)*Paramètres!$C$17+MAX(MIN(BY22+BZ22,Paramètres!$B$18)-Paramètres!$B$17,0)*Paramètres!$C$18+MAX(MIN(BY22+BZ22,Paramètres!$B$19)-Paramètres!$B$18,0)*Paramètres!$C$19,0)</f>
        <v>0</v>
      </c>
      <c r="CB22" s="150">
        <f>MAX(MIN(BY22,Paramètres!$B$17)*Paramètres!$C$17+MAX(MIN(BY22,Paramètres!$B$18)-Paramètres!$B$17,0)*Paramètres!$C$18+MAX(MIN(BY22,Paramètres!$B$19)-Paramètres!$B$18,0)*Paramètres!$C$19,0)</f>
        <v>0</v>
      </c>
      <c r="CC22" s="108">
        <f>(C22-SUM(D22:N22)+MIN(CC21,0))*(B22&lt;=Simulation!$F$24)</f>
        <v>0</v>
      </c>
      <c r="CD22" s="108">
        <f>(Simulation!$F$22-(Simulation!$C$13-SUM($I$8:$N$37)))*(B22=Simulation!$F$24)</f>
        <v>0</v>
      </c>
      <c r="CE22" s="108">
        <f>MAX(MIN(CC22+CD22,Paramètres!$B$17)*Paramètres!$C$17+MAX(MIN(CC22+CD22,Paramètres!$B$18)-Paramètres!$B$17,0)*Paramètres!$C$18+MAX(MIN(CC22+CD22,Paramètres!$B$19)-Paramètres!$B$18,0)*Paramètres!$C$19,0)</f>
        <v>0</v>
      </c>
      <c r="CF22" s="108">
        <f>MAX(MIN(CC22,Paramètres!$B$17)*Paramètres!$C$17+MAX(MIN(CC22,Paramètres!$B$18)-Paramètres!$B$17,0)*Paramètres!$C$18+MAX(MIN(CC22,Paramètres!$B$19)-Paramètres!$B$18,0)*Paramètres!$C$19,0)</f>
        <v>0</v>
      </c>
      <c r="CG22" s="108">
        <f>MAX(CC22+CD22-CF22,0)*(1-Paramètres!$E$17)*Paramètres!$E$18</f>
        <v>0</v>
      </c>
      <c r="CH22" s="54">
        <f>MAX(CC22-CF22,0)*(1-Paramètres!$E$17)*Paramètres!$E$18</f>
        <v>0</v>
      </c>
      <c r="CI22" s="127">
        <f ca="1">OFFSET($AC22,0,VLOOKUP(Simulation!$C$27,Simulation!$Q$5:$R$14,2,FALSE))</f>
        <v>0</v>
      </c>
      <c r="CK22" s="167"/>
      <c r="CL22" s="167"/>
      <c r="CM22" s="167"/>
      <c r="CN22" s="167"/>
      <c r="CO22" s="167"/>
      <c r="CP22" s="167"/>
      <c r="CQ22" s="167"/>
      <c r="CR22" s="167"/>
      <c r="CS22" s="167"/>
      <c r="CT22" s="167"/>
      <c r="CU22" s="167"/>
      <c r="CV22" s="167"/>
    </row>
    <row r="23" spans="2:100" x14ac:dyDescent="0.2">
      <c r="B23" s="40">
        <f t="shared" si="0"/>
        <v>16</v>
      </c>
      <c r="C23" s="143">
        <f>SUMPRODUCT('Détail trésorerie'!$H$8:$H$367*('Détail trésorerie'!$B$8:$B$367&gt;$B22*12)*('Détail trésorerie'!$B$8:$B$367&lt;=$B23*12))</f>
        <v>0</v>
      </c>
      <c r="D23" s="143">
        <f>SUMPRODUCT('Détail trésorerie'!$E$8:$E$367*('Détail trésorerie'!$B$8:$B$367&gt;$B22*12)*('Détail trésorerie'!$B$8:$B$367&lt;=$B23*12))</f>
        <v>0</v>
      </c>
      <c r="E23" s="144">
        <f>SUMPRODUCT('Détail trésorerie'!$J$8:$J$367*('Détail trésorerie'!$B$8:$B$367&gt;$B22*12)*('Détail trésorerie'!$B$8:$B$367&lt;=$B23*12))</f>
        <v>0</v>
      </c>
      <c r="F23" s="144">
        <f>SUMPRODUCT('Détail trésorerie'!$K$8:$K$367*('Détail trésorerie'!$B$8:$B$367&gt;$B22*12)*('Détail trésorerie'!$B$8:$B$367&lt;=$B23*12))</f>
        <v>0</v>
      </c>
      <c r="G23" s="144">
        <f>SUMPRODUCT('Détail trésorerie'!$L$8:$L$367*('Détail trésorerie'!$B$8:$B$367&gt;$B22*12)*('Détail trésorerie'!$B$8:$B$367&lt;=$B23*12))</f>
        <v>0</v>
      </c>
      <c r="H23" s="145">
        <f>SUMPRODUCT('Détail trésorerie'!$M$8:$M$367*('Détail trésorerie'!$B$8:$B$367&gt;$B22*12)*('Détail trésorerie'!$B$8:$B$367&lt;=$B23*12))</f>
        <v>0</v>
      </c>
      <c r="I23" s="126">
        <f>MAX(MIN(Paramètres!$E$3*Simulation!$C$7*Paramètres!$C$3,Simulation!$C$7*Paramètres!$E$3-SUM(I$8:$I22)),0)*(B23&lt;=Simulation!$F$24)</f>
        <v>0</v>
      </c>
      <c r="J23" s="108">
        <f>MAX(MIN(Paramètres!$E$4*Simulation!$C$7*Paramètres!$C$4,Simulation!$C$7*Paramètres!$E$4-SUM($J$8:J22)),0)*(B23&lt;=Simulation!$F$24)</f>
        <v>0</v>
      </c>
      <c r="K23" s="108">
        <f>MAX(MIN(Paramètres!$E$5*Simulation!$C$8*Paramètres!$C$5,Paramètres!$E$5*Simulation!$C$8-SUM($K$8:K22)),0)*(B23&lt;=Simulation!$F$24)</f>
        <v>0</v>
      </c>
      <c r="L23" s="108">
        <v>0</v>
      </c>
      <c r="M23" s="108">
        <v>0</v>
      </c>
      <c r="N23" s="108">
        <f>MAX(MIN(Paramètres!$C$6*(Simulation!$C$10+Simulation!$C$11+Simulation!$C$12),(Simulation!$C$10+Simulation!$C$11+Simulation!$C$12)-SUM(N$8:N22)),0)*(B23&lt;=Simulation!$F$24)</f>
        <v>0</v>
      </c>
      <c r="O23" s="148">
        <f>25000*8/2*(1+Emprunteur!$F$7)^$B23</f>
        <v>117257.86449236987</v>
      </c>
      <c r="P23" s="165">
        <f>0*(1+Emprunteur!$F$8)^$B23</f>
        <v>0</v>
      </c>
      <c r="Q23" s="165">
        <f>0*(1+Emprunteur!$F$9)^$B23</f>
        <v>0</v>
      </c>
      <c r="R23" s="165">
        <f>0*(1+Emprunteur!$F$10)^$B23</f>
        <v>0</v>
      </c>
      <c r="S23" s="108">
        <f t="shared" si="5"/>
        <v>117257.86449236987</v>
      </c>
      <c r="T23" s="157">
        <v>1</v>
      </c>
      <c r="U23" s="157">
        <v>1</v>
      </c>
      <c r="V23" s="108">
        <f>(MAX(MIN(Paramètres!$B$9,S23/T23),0)*Paramètres!$C$9+MAX(MIN(Paramètres!$B$10,S23/T23)-Paramètres!$B$9,0)*Paramètres!$C$10+MAX(MIN(Paramètres!$B$11,S23/T23)-Paramètres!$B$10,0)*Paramètres!$C$11+MAX(MIN(Paramètres!$B$12,S23/T23)-Paramètres!$B$11,0)*Paramètres!$C$12+MAX(MIN(Paramètres!$B$13,S23/T23)-Paramètres!$B$12,0)*Paramètres!$C$13)*T23</f>
        <v>33026.734441871646</v>
      </c>
      <c r="W23" s="108">
        <f>(MAX(MIN(Paramètres!$B$9,S23/U23),0)*Paramètres!$C$9+MAX(MIN(Paramètres!$B$10,S23/U23)-Paramètres!$B$9,0)*Paramètres!$C$10+MAX(MIN(Paramètres!$B$11,S23/U23)-Paramètres!$B$10,0)*Paramètres!$C$11+MAX(MIN(Paramètres!$B$12,S23/U23)-Paramètres!$B$11,0)*Paramètres!$C$12+MAX(MIN(Paramètres!$B$13,S23/U23)-Paramètres!$B$12,0)*Paramètres!$C$13)*U23</f>
        <v>33026.734441871646</v>
      </c>
      <c r="X23" s="108">
        <f>MAX(V23,W23-Paramètres!$E$13*(T23-U23)*2)+MAX(P23,0)*Paramètres!$E$9+MAX(Q23,0)*Paramètres!$E$9+MAX(R23*Paramètres!$E$12,Paramètres!$E$11)</f>
        <v>34171.734441871646</v>
      </c>
      <c r="Y23" s="126">
        <f>(C23-SUM(D23:N23)+MIN(Y22,0))*(B23&lt;=Simulation!$F$24)</f>
        <v>0</v>
      </c>
      <c r="Z23" s="108">
        <f>(MAX(MIN(Paramètres!$B$9,(O23+MAX(P23,0)+MAX(Q23+Y23,0)+R23)/T23),0)*Paramètres!$C$9+MAX(MIN(Paramètres!$B$10,(O23+MAX(P23,0)+MAX(Q23+Y23,0)+R23)/T23)-Paramètres!$B$9,0)*Paramètres!$C$10+MAX(MIN(Paramètres!$B$11,(O23+MAX(P23,0)+MAX(Q23+Y23,0)+R23)/T23)-Paramètres!$B$10,0)*Paramètres!$C$11+MAX(MIN(Paramètres!$B$12,(O23+MAX(P23,0)+MAX(Q23+Y23,0)+R23)/T23)-Paramètres!$B$11,0)*Paramètres!$C$12+MAX(MIN(Paramètres!$B$13,(O23+MAX(P23,0)+MAX(Q23+Y23,0)+R23)/T23)-Paramètres!$B$12,0)*Paramètres!$C$13)*T23</f>
        <v>33026.734441871646</v>
      </c>
      <c r="AA23" s="108">
        <f>(MAX(MIN(Paramètres!$B$9,(O23+MAX(P23,0)+MAX(Q23+Y23,0)+R23)/U23),0)*Paramètres!$C$9+MAX(MIN(Paramètres!$B$10,(O23+MAX(P23,0)+MAX(Q23+Y23,0)+R23)/U23)-Paramètres!$B$9,0)*Paramètres!$C$10+MAX(MIN(Paramètres!$B$11,(O23+MAX(P23,0)+MAX(Q23+Y23,0)+R23)/U23)-Paramètres!$B$10,0)*Paramètres!$C$11+MAX(MIN(Paramètres!$B$12,(O23+MAX(P23,0)+MAX(Q23+Y23,0)+R23)/U23)-Paramètres!$B$11,0)*Paramètres!$C$12+MAX(MIN(Paramètres!$B$13,(O23+MAX(P23,0)+MAX(Q23+Y23,0)+R23)/U23)-Paramètres!$B$12,0)*Paramètres!$C$13)*U23</f>
        <v>33026.734441871646</v>
      </c>
      <c r="AB23" s="108">
        <f>MAX(Z23,AA23-Paramètres!$E$13*(T23-U23)*2)+MAX(P23,0)*Paramètres!$E$9+MAX(Q23+Y23,0)*Paramètres!$E$9+MAX(R23*Paramètres!$E$12,Paramètres!$E$11)</f>
        <v>34171.734441871646</v>
      </c>
      <c r="AC23" s="108">
        <f t="shared" si="6"/>
        <v>0</v>
      </c>
      <c r="AD23" s="149">
        <f t="shared" si="1"/>
        <v>0</v>
      </c>
      <c r="AE23" s="108">
        <f>(MAX(MIN(Paramètres!$B$9,(O23+MAX(P23,0)+MAX(Q23+AD23,0)+R23)/T23),0)*Paramètres!$C$9+MAX(MIN(Paramètres!$B$10,(O23+MAX(P23,0)+MAX(Q23+AD23,0)+R23)/T23)-Paramètres!$B$9,0)*Paramètres!$C$10+MAX(MIN(Paramètres!$B$11,(O23+MAX(P23,0)+MAX(Q23+AD23,0)+R23)/T23)-Paramètres!$B$10,0)*Paramètres!$C$11+MAX(MIN(Paramètres!$B$12,(O23+MAX(P23,0)+MAX(Q23+AD23,0)+R23)/T23)-Paramètres!$B$11,0)*Paramètres!$C$12+MAX(MIN(Paramètres!$B$13,(O23+MAX(P23,0)+MAX(Q23+AD23,0)+R23)/T23)-Paramètres!$B$12,0)*Paramètres!$C$13)*T23</f>
        <v>33026.734441871646</v>
      </c>
      <c r="AF23" s="108">
        <f>(MAX(MIN(Paramètres!$B$9,(O23+MAX(P23,0)+MAX(Q23+AD23,0)+R23)/U23),0)*Paramètres!$C$9+MAX(MIN(Paramètres!$B$10,(O23+MAX(P23,0)+MAX(Q23+AD23,0)+R23)/U23)-Paramètres!$B$9,0)*Paramètres!$C$10+MAX(MIN(Paramètres!$B$11,(O23+MAX(P23,0)+MAX(Q23+AD23,0)+R23)/U23)-Paramètres!$B$10,0)*Paramètres!$C$11+MAX(MIN(Paramètres!$B$12,(O23+MAX(P23,0)+MAX(Q23+AD23,0)+R23)/U23)-Paramètres!$B$11,0)*Paramètres!$C$12+MAX(MIN(Paramètres!$B$13,(O23+MAX(P23,0)+MAX(Q23+AD23,0)+R23)/U23)-Paramètres!$B$12,0)*Paramètres!$C$13)*U23</f>
        <v>33026.734441871646</v>
      </c>
      <c r="AG23" s="108">
        <f>MAX(AE23,AF23-Paramètres!$E$13*(T23-U23)*2)+MAX(P23,0)*Paramètres!$E$9+MAX(Q23+AD23,0)*Paramètres!$E$9+MAX(R23*Paramètres!$E$12,Paramètres!$E$11)</f>
        <v>34171.734441871646</v>
      </c>
      <c r="AH23" s="150">
        <f t="shared" si="7"/>
        <v>0</v>
      </c>
      <c r="AI23" s="149">
        <f t="shared" si="8"/>
        <v>0</v>
      </c>
      <c r="AJ23" s="108">
        <f>(MAX(MIN(Paramètres!$B$9,(O23+MAX(P23,0)+MAX(Q23+AI23,0)+R23)/T23),0)*Paramètres!$C$9+MAX(MIN(Paramètres!$B$10,(O23+MAX(P23,0)+MAX(Q23+AI23,0)+R23)/T23)-Paramètres!$B$9,0)*Paramètres!$C$10+MAX(MIN(Paramètres!$B$11,(O23+MAX(P23,0)+MAX(Q23+AI23,0)+R23)/T23)-Paramètres!$B$10,0)*Paramètres!$C$11+MAX(MIN(Paramètres!$B$12,(O23+MAX(P23,0)+MAX(Q23+AI23,0)+R23)/T23)-Paramètres!$B$11,0)*Paramètres!$C$12+MAX(MIN(Paramètres!$B$13,(O23+MAX(P23,0)+MAX(Q23+AI23,0)+R23)/T23)-Paramètres!$B$12,0)*Paramètres!$C$13)*T23</f>
        <v>33026.734441871646</v>
      </c>
      <c r="AK23" s="108">
        <f>(MAX(MIN(Paramètres!$B$9,(O23+MAX(P23,0)+MAX(Q23+AI23,0)+R23)/U23),0)*Paramètres!$C$9+MAX(MIN(Paramètres!$B$10,(O23+MAX(P23,0)+MAX(Q23+AI23,0)+R23)/U23)-Paramètres!$B$9,0)*Paramètres!$C$10+MAX(MIN(Paramètres!$B$11,(O23+MAX(P23,0)+MAX(Q23+AI23,0)+R23)/U23)-Paramètres!$B$10,0)*Paramètres!$C$11+MAX(MIN(Paramètres!$B$12,(O23+MAX(P23,0)+MAX(Q23+AI23,0)+R23)/U23)-Paramètres!$B$11,0)*Paramètres!$C$12+MAX(MIN(Paramètres!$B$13,(O23+MAX(P23,0)+MAX(Q23+AI23,0)+R23)/U23)-Paramètres!$B$12,0)*Paramètres!$C$13)*U23</f>
        <v>33026.734441871646</v>
      </c>
      <c r="AL23" s="108">
        <f>MAX(AJ23,AK23-Paramètres!$E$13*(T23-U23)*2)+MAX(P23,0)*Paramètres!$E$9+MAX(Q23+AI23,0)*Paramètres!$E$9+MAX(R23*Paramètres!$E$12,Paramètres!$E$11)</f>
        <v>34171.734441871646</v>
      </c>
      <c r="AM23" s="150">
        <f>MAX(AL23-11%/9*Simulation!$C$7*(B23&lt;=9),0)-X23</f>
        <v>0</v>
      </c>
      <c r="AN23" s="149">
        <f>MAX(MAX(C23-D23,0)-SUM(E23:H23),-MIN(SUM(O23:R23),Paramètres!$E$19+MAX(P23,0)))</f>
        <v>0</v>
      </c>
      <c r="AO23" s="108">
        <f t="shared" si="18"/>
        <v>0</v>
      </c>
      <c r="AP23" s="108">
        <f t="shared" si="22"/>
        <v>-1.8189894035458565E-12</v>
      </c>
      <c r="AQ23" s="108">
        <f t="shared" si="9"/>
        <v>0</v>
      </c>
      <c r="AR23" s="108">
        <f t="shared" si="10"/>
        <v>0</v>
      </c>
      <c r="AS23" s="108">
        <f>(MAX(MIN(Paramètres!$B$9,(O23+P23+AQ23+MAX(Q23,0)+R23)/T23),0)*Paramètres!$C$9+MAX(MIN(Paramètres!$B$10,(O23+P23+AQ23+MAX(Q23,0)+R23)/T23)-Paramètres!$B$9,0)*Paramètres!$C$10+MAX(MIN(Paramètres!$B$11,(O23+P23+AQ23+MAX(Q23,0)+R23)/T23)-Paramètres!$B$10,0)*Paramètres!$C$11+MAX(MIN(Paramètres!$B$12,(O23+P23+AQ23+MAX(Q23,0)+R23)/T23)-Paramètres!$B$11,0)*Paramètres!$C$12+MAX(MIN(Paramètres!$B$13,(O23+P23+AQ23+MAX(Q23,0)+R23)/T23)-Paramètres!$B$12,0)*Paramètres!$C$13)*T23</f>
        <v>33026.734441871646</v>
      </c>
      <c r="AT23" s="108">
        <f>(MAX(MIN(Paramètres!$B$9,(O23+P23+AQ23+MAX(Q23,0)+R23)/U23),0)*Paramètres!$C$9+MAX(MIN(Paramètres!$B$10,(O23+P23+AQ23+MAX(Q23,0)+R23)/U23)-Paramètres!$B$9,0)*Paramètres!$C$10+MAX(MIN(Paramètres!$B$11,(O23+P23+AQ23+MAX(Q23,0)+R23)/U23)-Paramètres!$B$10,0)*Paramètres!$C$11+MAX(MIN(Paramètres!$B$12,(O23+P23+AQ23+MAX(Q23,0)+R23)/U23)-Paramètres!$B$11,0)*Paramètres!$C$12+MAX(MIN(Paramètres!$B$13,(O23+P23+AQ23+MAX(Q23,0)+R23)/U23)-Paramètres!$B$12,0)*Paramètres!$C$13)*U23</f>
        <v>33026.734441871646</v>
      </c>
      <c r="AU23" s="108">
        <f>MAX(AS23,AT23-Paramètres!$E$13*(T23-U23)*2)+MAX(P23+AQ23,0)*Paramètres!$E$9+MAX(Q23,0)*Paramètres!$E$9+MAX(R23*Paramètres!$E$12,Paramètres!$E$11)</f>
        <v>34171.734441871646</v>
      </c>
      <c r="AV23" s="150">
        <f t="shared" si="2"/>
        <v>0</v>
      </c>
      <c r="AW23" s="108">
        <f t="shared" si="3"/>
        <v>0</v>
      </c>
      <c r="AX23" s="108">
        <f>(MAX(MIN(Paramètres!$B$9,(O23+MAX(P23+AW23,0)+MAX(Q23,0)+R23)/T23),0)*Paramètres!$C$9+MAX(MIN(Paramètres!$B$10,(O23+MAX(P23+AW23,0)+MAX(Q23,0)+R23)/T23)-Paramètres!$B$9,0)*Paramètres!$C$10+MAX(MIN(Paramètres!$B$11,(O23+MAX(P23+AW23,0)+MAX(Q23,0)+R23)/T23)-Paramètres!$B$10,0)*Paramètres!$C$11+MAX(MIN(Paramètres!$B$12,(O23+MAX(P23+AW23,0)+MAX(Q23,0)+R23)/T23)-Paramètres!$B$11,0)*Paramètres!$C$12+MAX(MIN(Paramètres!$B$13,(O23+MAX(P23+AW23,0)+MAX(Q23,0)+R23)/T23)-Paramètres!$B$12,0)*Paramètres!$C$13)*T23</f>
        <v>33026.734441871646</v>
      </c>
      <c r="AY23" s="108">
        <f>(MAX(MIN(Paramètres!$B$9,(O23+MAX(P23+AW23,0)+MAX(Q23,0)+R23)/U23),0)*Paramètres!$C$9+MAX(MIN(Paramètres!$B$10,(O23+MAX(P23+AW23,0)+MAX(Q23,0)+R23)/U23)-Paramètres!$B$9,0)*Paramètres!$C$10+MAX(MIN(Paramètres!$B$11,(O23+MAX(P23+AW23,0)+MAX(Q23,0)+R23)/U23)-Paramètres!$B$10,0)*Paramètres!$C$11+MAX(MIN(Paramètres!$B$12,(O23+MAX(P23+AW23,0)+MAX(Q23,0)+R23)/U23)-Paramètres!$B$11,0)*Paramètres!$C$12+MAX(MIN(Paramètres!$B$13,(O23+MAX(P23+AW23,0)+MAX(Q23,0)+R23)/U23)-Paramètres!$B$12,0)*Paramètres!$C$13)*U23</f>
        <v>33026.734441871646</v>
      </c>
      <c r="AZ23" s="108">
        <f>MAX(AX23,AY23-Paramètres!$E$13*(T23-U23)*2)+MAX(P23+AW23,0)*Paramètres!$E$9+MAX(Q23,0)*Paramètres!$E$9+MAX(R23*Paramètres!$E$12,Paramètres!$E$11)</f>
        <v>34171.734441871646</v>
      </c>
      <c r="BA23" s="108">
        <f t="shared" si="4"/>
        <v>0</v>
      </c>
      <c r="BB23" s="149">
        <f>MAX(MAX(C23-D23,0)-SUM(E23:H23),-MIN(SUM(O23:R23),Paramètres!$E$19+MAX(P23,0)))</f>
        <v>0</v>
      </c>
      <c r="BC23" s="108">
        <f t="shared" si="20"/>
        <v>0</v>
      </c>
      <c r="BD23" s="108">
        <f t="shared" si="23"/>
        <v>-1.8189894035458565E-12</v>
      </c>
      <c r="BE23" s="108">
        <f t="shared" si="11"/>
        <v>0</v>
      </c>
      <c r="BF23" s="108">
        <f t="shared" si="12"/>
        <v>0</v>
      </c>
      <c r="BG23" s="108">
        <f>(MAX(MIN(Paramètres!$B$9,(O23+P23+BE23+MAX(Q23,0)+R23)/T23),0)*Paramètres!$C$9+MAX(MIN(Paramètres!$B$10,(O23+P23+BE23+MAX(Q23,0)+R23)/T23)-Paramètres!$B$9,0)*Paramètres!$C$10+MAX(MIN(Paramètres!$B$11,(O23+P23+BE23+MAX(Q23,0)+R23)/T23)-Paramètres!$B$10,0)*Paramètres!$C$11+MAX(MIN(Paramètres!$B$12,(O23+P23+BE23+MAX(Q23,0)+R23)/T23)-Paramètres!$B$11,0)*Paramètres!$C$12+MAX(MIN(Paramètres!$B$13,(O23+P23+BE23+MAX(Q23,0)+R23)/T23)-Paramètres!$B$12,0)*Paramètres!$C$13)*T23</f>
        <v>33026.734441871646</v>
      </c>
      <c r="BH23" s="108">
        <f>(MAX(MIN(Paramètres!$B$9,(O23+P23+BE23+MAX(Q23,0)+R23)/U23),0)*Paramètres!$C$9+MAX(MIN(Paramètres!$B$10,(O23+P23+BE23+MAX(Q23,0)+R23)/U23)-Paramètres!$B$9,0)*Paramètres!$C$10+MAX(MIN(Paramètres!$B$11,(O23+P23+BE23+MAX(Q23,0)+R23)/U23)-Paramètres!$B$10,0)*Paramètres!$C$11+MAX(MIN(Paramètres!$B$12,(O23+P23+BE23+MAX(Q23,0)+R23)/U23)-Paramètres!$B$11,0)*Paramètres!$C$12+MAX(MIN(Paramètres!$B$13,(O23+P23+BE23+MAX(Q23,0)+R23)/U23)-Paramètres!$B$12,0)*Paramètres!$C$13)*U23</f>
        <v>33026.734441871646</v>
      </c>
      <c r="BI23" s="108">
        <f>MAX(BG23,BH23-Paramètres!$E$13*(T23-U23)*2)+MAX(P23+BE23,0)*Paramètres!$E$9+MAX(Q23,0)*Paramètres!$E$9+MAX(R23*Paramètres!$E$12,Paramètres!$E$11)</f>
        <v>34171.734441871646</v>
      </c>
      <c r="BJ23" s="150">
        <f>MAX(BI23-IFERROR(VLOOKUP(B23,Paramètres!$B$28:$C$39,2,FALSE),0)*MIN(MIN((Simulation!$C$7+Simulation!$C$12+Simulation!$C$8+Simulation!$C$10)/Simulation!$C$28,Paramètres!$C$26)*Simulation!$C$28,Paramètres!$C$25),0)-X23</f>
        <v>0</v>
      </c>
      <c r="BK23" s="108">
        <f t="shared" si="13"/>
        <v>0</v>
      </c>
      <c r="BL23" s="108">
        <f>(MAX(MIN(Paramètres!$B$9,(O23+MAX(P23+BK23,0)+MAX(Q23,0)+R23)/T23),0)*Paramètres!$C$9+MAX(MIN(Paramètres!$B$10,(O23+MAX(P23+BK23,0)+MAX(Q23,0)+R23)/T23)-Paramètres!$B$9,0)*Paramètres!$C$10+MAX(MIN(Paramètres!$B$11,(O23+MAX(P23+BK23,0)+MAX(Q23,0)+R23)/T23)-Paramètres!$B$10,0)*Paramètres!$C$11+MAX(MIN(Paramètres!$B$12,(O23+MAX(P23+BK23,0)+MAX(Q23,0)+R23)/T23)-Paramètres!$B$11,0)*Paramètres!$C$12+MAX(MIN(Paramètres!$B$13,(O23+MAX(P23+BK23,0)+MAX(Q23,0)+R23)/T23)-Paramètres!$B$12,0)*Paramètres!$C$13)*T23</f>
        <v>33026.734441871646</v>
      </c>
      <c r="BM23" s="108">
        <f>(MAX(MIN(Paramètres!$B$9,(O23+MAX(P23+BK23,0)+MAX(Q23,0)+R23)/U23),0)*Paramètres!$C$9+MAX(MIN(Paramètres!$B$10,(O23+MAX(P23+BK23,0)+MAX(Q23,0)+R23)/U23)-Paramètres!$B$9,0)*Paramètres!$C$10+MAX(MIN(Paramètres!$B$11,(O23+MAX(P23+BK23,0)+MAX(Q23,0)+R23)/U23)-Paramètres!$B$10,0)*Paramètres!$C$11+MAX(MIN(Paramètres!$B$12,(O23+MAX(P23+BK23,0)+MAX(Q23,0)+R23)/U23)-Paramètres!$B$11,0)*Paramètres!$C$12+MAX(MIN(Paramètres!$B$13,(O23+MAX(P23+BK23,0)+MAX(Q23,0)+R23)/U23)-Paramètres!$B$12,0)*Paramètres!$C$13)*U23</f>
        <v>33026.734441871646</v>
      </c>
      <c r="BN23" s="108">
        <f>MAX(BL23,BM23-Paramètres!$E$13*(T23-U23)*2)+MAX(P23+BK23,0)*Paramètres!$E$9+MAX(Q23,0)*Paramètres!$E$9+MAX(R23*Paramètres!$E$12,Paramètres!$E$11)</f>
        <v>34171.734441871646</v>
      </c>
      <c r="BO23" s="108">
        <f>MAX(BN23-IFERROR(VLOOKUP(B23,Paramètres!$B$28:$C$39,2,FALSE),0)*MIN(MIN((Simulation!$C$7+Simulation!$C$12+Simulation!$C$8+Simulation!$C$10)/Simulation!$C$28,Paramètres!$C$26)*Simulation!$C$28,Paramètres!$C$25),0)-X23</f>
        <v>0</v>
      </c>
      <c r="BP23" s="126">
        <f t="shared" si="14"/>
        <v>0</v>
      </c>
      <c r="BQ23" s="108">
        <f t="shared" si="15"/>
        <v>0</v>
      </c>
      <c r="BR23" s="108">
        <f t="shared" si="21"/>
        <v>0</v>
      </c>
      <c r="BS23" s="108">
        <f t="shared" si="19"/>
        <v>0</v>
      </c>
      <c r="BT23" s="108">
        <f t="shared" si="16"/>
        <v>0</v>
      </c>
      <c r="BU23" s="108">
        <f>(MAX(MIN(Paramètres!$B$9,(O23+MAX(P23,0)+MAX(Q23,0)+R23+BS23)/T23),0)*Paramètres!$C$9+MAX(MIN(Paramètres!$B$10,(O23+MAX(P23,0)+MAX(Q23,0)+R23+BS23)/T23)-Paramètres!$B$9,0)*Paramètres!$C$10+MAX(MIN(Paramètres!$B$11,(O23+MAX(P23,0)+MAX(Q23,0)+R23+BS23)/T23)-Paramètres!$B$10,0)*Paramètres!$C$11+MAX(MIN(Paramètres!$B$12,(O23+MAX(P23,0)+MAX(Q23,0)+R23+BS23)/T23)-Paramètres!$B$11,0)*Paramètres!$C$12+MAX(MIN(Paramètres!$B$13,(O23+MAX(P23,0)+MAX(Q23,0)+R23+BS23)/T23)-Paramètres!$B$12,0)*Paramètres!$C$13)*T23</f>
        <v>33026.734441871646</v>
      </c>
      <c r="BV23" s="108">
        <f>(MAX(MIN(Paramètres!$B$9,(O23+MAX(P23,0)+MAX(Q23,0)+R23+BS23)/U23),0)*Paramètres!$C$9+MAX(MIN(Paramètres!$B$10,(O23+MAX(P23,0)+MAX(Q23,0)+R23+BS23)/U23)-Paramètres!$B$9,0)*Paramètres!$C$10+MAX(MIN(Paramètres!$B$11,(O23+MAX(P23,0)+MAX(Q23,0)+R23+BS23)/U23)-Paramètres!$B$10,0)*Paramètres!$C$11+MAX(MIN(Paramètres!$B$12,(O23+MAX(P23,0)+MAX(Q23,0)+R23+BS23)/U23)-Paramètres!$B$11,0)*Paramètres!$C$12+MAX(MIN(Paramètres!$B$13,(O23+MAX(P23,0)+MAX(Q23,0)+R23+BS23)/U23)-Paramètres!$B$12,0)*Paramètres!$C$13)*U23</f>
        <v>33026.734441871646</v>
      </c>
      <c r="BW23" s="108">
        <f>MAX(BU23,BV23-Paramètres!$E$13*(T23-U23)*2)+MAX(P23,0)*Paramètres!$E$9+MAX(Q23,0)*Paramètres!$E$9+MAX((R23+BS23)*Paramètres!$E$12,Paramètres!$E$11)</f>
        <v>34171.734441871646</v>
      </c>
      <c r="BX23" s="108">
        <f t="shared" si="17"/>
        <v>0</v>
      </c>
      <c r="BY23" s="149">
        <f>(C23-SUM(D23:N23)+MIN(BY22,0))*(B23&lt;=Simulation!$F$24)</f>
        <v>0</v>
      </c>
      <c r="BZ23" s="108">
        <f>(Simulation!$F$22-(Simulation!$C$13-SUM($I$8:$N$37)))*(B23=Simulation!$F$24)</f>
        <v>0</v>
      </c>
      <c r="CA23" s="108">
        <f>MAX(MIN(BY23+BZ23,Paramètres!$B$17)*Paramètres!$C$17+MAX(MIN(BY23+BZ23,Paramètres!$B$18)-Paramètres!$B$17,0)*Paramètres!$C$18+MAX(MIN(BY23+BZ23,Paramètres!$B$19)-Paramètres!$B$18,0)*Paramètres!$C$19,0)</f>
        <v>0</v>
      </c>
      <c r="CB23" s="150">
        <f>MAX(MIN(BY23,Paramètres!$B$17)*Paramètres!$C$17+MAX(MIN(BY23,Paramètres!$B$18)-Paramètres!$B$17,0)*Paramètres!$C$18+MAX(MIN(BY23,Paramètres!$B$19)-Paramètres!$B$18,0)*Paramètres!$C$19,0)</f>
        <v>0</v>
      </c>
      <c r="CC23" s="108">
        <f>(C23-SUM(D23:N23)+MIN(CC22,0))*(B23&lt;=Simulation!$F$24)</f>
        <v>0</v>
      </c>
      <c r="CD23" s="108">
        <f>(Simulation!$F$22-(Simulation!$C$13-SUM($I$8:$N$37)))*(B23=Simulation!$F$24)</f>
        <v>0</v>
      </c>
      <c r="CE23" s="108">
        <f>MAX(MIN(CC23+CD23,Paramètres!$B$17)*Paramètres!$C$17+MAX(MIN(CC23+CD23,Paramètres!$B$18)-Paramètres!$B$17,0)*Paramètres!$C$18+MAX(MIN(CC23+CD23,Paramètres!$B$19)-Paramètres!$B$18,0)*Paramètres!$C$19,0)</f>
        <v>0</v>
      </c>
      <c r="CF23" s="108">
        <f>MAX(MIN(CC23,Paramètres!$B$17)*Paramètres!$C$17+MAX(MIN(CC23,Paramètres!$B$18)-Paramètres!$B$17,0)*Paramètres!$C$18+MAX(MIN(CC23,Paramètres!$B$19)-Paramètres!$B$18,0)*Paramètres!$C$19,0)</f>
        <v>0</v>
      </c>
      <c r="CG23" s="108">
        <f>MAX(CC23+CD23-CF23,0)*(1-Paramètres!$E$17)*Paramètres!$E$18</f>
        <v>0</v>
      </c>
      <c r="CH23" s="54">
        <f>MAX(CC23-CF23,0)*(1-Paramètres!$E$17)*Paramètres!$E$18</f>
        <v>0</v>
      </c>
      <c r="CI23" s="127">
        <f ca="1">OFFSET($AC23,0,VLOOKUP(Simulation!$C$27,Simulation!$Q$5:$R$14,2,FALSE))</f>
        <v>0</v>
      </c>
      <c r="CK23" s="167"/>
      <c r="CL23" s="167"/>
      <c r="CM23" s="167"/>
      <c r="CN23" s="167"/>
      <c r="CO23" s="167"/>
      <c r="CP23" s="167"/>
      <c r="CQ23" s="167"/>
      <c r="CR23" s="167"/>
      <c r="CS23" s="167"/>
      <c r="CT23" s="167"/>
      <c r="CU23" s="167"/>
      <c r="CV23" s="167"/>
    </row>
    <row r="24" spans="2:100" x14ac:dyDescent="0.2">
      <c r="B24" s="40">
        <f t="shared" si="0"/>
        <v>17</v>
      </c>
      <c r="C24" s="143">
        <f>SUMPRODUCT('Détail trésorerie'!$H$8:$H$367*('Détail trésorerie'!$B$8:$B$367&gt;$B23*12)*('Détail trésorerie'!$B$8:$B$367&lt;=$B24*12))</f>
        <v>0</v>
      </c>
      <c r="D24" s="143">
        <f>SUMPRODUCT('Détail trésorerie'!$E$8:$E$367*('Détail trésorerie'!$B$8:$B$367&gt;$B23*12)*('Détail trésorerie'!$B$8:$B$367&lt;=$B24*12))</f>
        <v>0</v>
      </c>
      <c r="E24" s="144">
        <f>SUMPRODUCT('Détail trésorerie'!$J$8:$J$367*('Détail trésorerie'!$B$8:$B$367&gt;$B23*12)*('Détail trésorerie'!$B$8:$B$367&lt;=$B24*12))</f>
        <v>0</v>
      </c>
      <c r="F24" s="144">
        <f>SUMPRODUCT('Détail trésorerie'!$K$8:$K$367*('Détail trésorerie'!$B$8:$B$367&gt;$B23*12)*('Détail trésorerie'!$B$8:$B$367&lt;=$B24*12))</f>
        <v>0</v>
      </c>
      <c r="G24" s="144">
        <f>SUMPRODUCT('Détail trésorerie'!$L$8:$L$367*('Détail trésorerie'!$B$8:$B$367&gt;$B23*12)*('Détail trésorerie'!$B$8:$B$367&lt;=$B24*12))</f>
        <v>0</v>
      </c>
      <c r="H24" s="145">
        <f>SUMPRODUCT('Détail trésorerie'!$M$8:$M$367*('Détail trésorerie'!$B$8:$B$367&gt;$B23*12)*('Détail trésorerie'!$B$8:$B$367&lt;=$B24*12))</f>
        <v>0</v>
      </c>
      <c r="I24" s="126">
        <f>MAX(MIN(Paramètres!$E$3*Simulation!$C$7*Paramètres!$C$3,Simulation!$C$7*Paramètres!$E$3-SUM(I$8:$I23)),0)*(B24&lt;=Simulation!$F$24)</f>
        <v>0</v>
      </c>
      <c r="J24" s="108">
        <f>MAX(MIN(Paramètres!$E$4*Simulation!$C$7*Paramètres!$C$4,Simulation!$C$7*Paramètres!$E$4-SUM($J$8:J23)),0)*(B24&lt;=Simulation!$F$24)</f>
        <v>0</v>
      </c>
      <c r="K24" s="108">
        <f>MAX(MIN(Paramètres!$E$5*Simulation!$C$8*Paramètres!$C$5,Paramètres!$E$5*Simulation!$C$8-SUM($K$8:K23)),0)*(B24&lt;=Simulation!$F$24)</f>
        <v>0</v>
      </c>
      <c r="L24" s="108">
        <v>0</v>
      </c>
      <c r="M24" s="108">
        <v>0</v>
      </c>
      <c r="N24" s="108">
        <f>MAX(MIN(Paramètres!$C$6*(Simulation!$C$10+Simulation!$C$11+Simulation!$C$12),(Simulation!$C$10+Simulation!$C$11+Simulation!$C$12)-SUM(N$8:N23)),0)*(B24&lt;=Simulation!$F$24)</f>
        <v>0</v>
      </c>
      <c r="O24" s="148">
        <f>25000*8/2*(1+Emprunteur!$F$7)^$B24</f>
        <v>118430.44313729358</v>
      </c>
      <c r="P24" s="165">
        <f>0*(1+Emprunteur!$F$8)^$B24</f>
        <v>0</v>
      </c>
      <c r="Q24" s="165">
        <f>0*(1+Emprunteur!$F$9)^$B24</f>
        <v>0</v>
      </c>
      <c r="R24" s="165">
        <f>0*(1+Emprunteur!$F$10)^$B24</f>
        <v>0</v>
      </c>
      <c r="S24" s="108">
        <f t="shared" si="5"/>
        <v>118430.44313729358</v>
      </c>
      <c r="T24" s="157">
        <v>1</v>
      </c>
      <c r="U24" s="157">
        <v>1</v>
      </c>
      <c r="V24" s="108">
        <f>(MAX(MIN(Paramètres!$B$9,S24/T24),0)*Paramètres!$C$9+MAX(MIN(Paramètres!$B$10,S24/T24)-Paramètres!$B$9,0)*Paramètres!$C$10+MAX(MIN(Paramètres!$B$11,S24/T24)-Paramètres!$B$10,0)*Paramètres!$C$11+MAX(MIN(Paramètres!$B$12,S24/T24)-Paramètres!$B$11,0)*Paramètres!$C$12+MAX(MIN(Paramètres!$B$13,S24/T24)-Paramètres!$B$12,0)*Paramètres!$C$13)*T24</f>
        <v>33507.491686290363</v>
      </c>
      <c r="W24" s="108">
        <f>(MAX(MIN(Paramètres!$B$9,S24/U24),0)*Paramètres!$C$9+MAX(MIN(Paramètres!$B$10,S24/U24)-Paramètres!$B$9,0)*Paramètres!$C$10+MAX(MIN(Paramètres!$B$11,S24/U24)-Paramètres!$B$10,0)*Paramètres!$C$11+MAX(MIN(Paramètres!$B$12,S24/U24)-Paramètres!$B$11,0)*Paramètres!$C$12+MAX(MIN(Paramètres!$B$13,S24/U24)-Paramètres!$B$12,0)*Paramètres!$C$13)*U24</f>
        <v>33507.491686290363</v>
      </c>
      <c r="X24" s="108">
        <f>MAX(V24,W24-Paramètres!$E$13*(T24-U24)*2)+MAX(P24,0)*Paramètres!$E$9+MAX(Q24,0)*Paramètres!$E$9+MAX(R24*Paramètres!$E$12,Paramètres!$E$11)</f>
        <v>34652.491686290363</v>
      </c>
      <c r="Y24" s="126">
        <f>(C24-SUM(D24:N24)+MIN(Y23,0))*(B24&lt;=Simulation!$F$24)</f>
        <v>0</v>
      </c>
      <c r="Z24" s="108">
        <f>(MAX(MIN(Paramètres!$B$9,(O24+MAX(P24,0)+MAX(Q24+Y24,0)+R24)/T24),0)*Paramètres!$C$9+MAX(MIN(Paramètres!$B$10,(O24+MAX(P24,0)+MAX(Q24+Y24,0)+R24)/T24)-Paramètres!$B$9,0)*Paramètres!$C$10+MAX(MIN(Paramètres!$B$11,(O24+MAX(P24,0)+MAX(Q24+Y24,0)+R24)/T24)-Paramètres!$B$10,0)*Paramètres!$C$11+MAX(MIN(Paramètres!$B$12,(O24+MAX(P24,0)+MAX(Q24+Y24,0)+R24)/T24)-Paramètres!$B$11,0)*Paramètres!$C$12+MAX(MIN(Paramètres!$B$13,(O24+MAX(P24,0)+MAX(Q24+Y24,0)+R24)/T24)-Paramètres!$B$12,0)*Paramètres!$C$13)*T24</f>
        <v>33507.491686290363</v>
      </c>
      <c r="AA24" s="108">
        <f>(MAX(MIN(Paramètres!$B$9,(O24+MAX(P24,0)+MAX(Q24+Y24,0)+R24)/U24),0)*Paramètres!$C$9+MAX(MIN(Paramètres!$B$10,(O24+MAX(P24,0)+MAX(Q24+Y24,0)+R24)/U24)-Paramètres!$B$9,0)*Paramètres!$C$10+MAX(MIN(Paramètres!$B$11,(O24+MAX(P24,0)+MAX(Q24+Y24,0)+R24)/U24)-Paramètres!$B$10,0)*Paramètres!$C$11+MAX(MIN(Paramètres!$B$12,(O24+MAX(P24,0)+MAX(Q24+Y24,0)+R24)/U24)-Paramètres!$B$11,0)*Paramètres!$C$12+MAX(MIN(Paramètres!$B$13,(O24+MAX(P24,0)+MAX(Q24+Y24,0)+R24)/U24)-Paramètres!$B$12,0)*Paramètres!$C$13)*U24</f>
        <v>33507.491686290363</v>
      </c>
      <c r="AB24" s="108">
        <f>MAX(Z24,AA24-Paramètres!$E$13*(T24-U24)*2)+MAX(P24,0)*Paramètres!$E$9+MAX(Q24+Y24,0)*Paramètres!$E$9+MAX(R24*Paramètres!$E$12,Paramètres!$E$11)</f>
        <v>34652.491686290363</v>
      </c>
      <c r="AC24" s="108">
        <f t="shared" si="6"/>
        <v>0</v>
      </c>
      <c r="AD24" s="149">
        <f t="shared" si="1"/>
        <v>0</v>
      </c>
      <c r="AE24" s="108">
        <f>(MAX(MIN(Paramètres!$B$9,(O24+MAX(P24,0)+MAX(Q24+AD24,0)+R24)/T24),0)*Paramètres!$C$9+MAX(MIN(Paramètres!$B$10,(O24+MAX(P24,0)+MAX(Q24+AD24,0)+R24)/T24)-Paramètres!$B$9,0)*Paramètres!$C$10+MAX(MIN(Paramètres!$B$11,(O24+MAX(P24,0)+MAX(Q24+AD24,0)+R24)/T24)-Paramètres!$B$10,0)*Paramètres!$C$11+MAX(MIN(Paramètres!$B$12,(O24+MAX(P24,0)+MAX(Q24+AD24,0)+R24)/T24)-Paramètres!$B$11,0)*Paramètres!$C$12+MAX(MIN(Paramètres!$B$13,(O24+MAX(P24,0)+MAX(Q24+AD24,0)+R24)/T24)-Paramètres!$B$12,0)*Paramètres!$C$13)*T24</f>
        <v>33507.491686290363</v>
      </c>
      <c r="AF24" s="108">
        <f>(MAX(MIN(Paramètres!$B$9,(O24+MAX(P24,0)+MAX(Q24+AD24,0)+R24)/U24),0)*Paramètres!$C$9+MAX(MIN(Paramètres!$B$10,(O24+MAX(P24,0)+MAX(Q24+AD24,0)+R24)/U24)-Paramètres!$B$9,0)*Paramètres!$C$10+MAX(MIN(Paramètres!$B$11,(O24+MAX(P24,0)+MAX(Q24+AD24,0)+R24)/U24)-Paramètres!$B$10,0)*Paramètres!$C$11+MAX(MIN(Paramètres!$B$12,(O24+MAX(P24,0)+MAX(Q24+AD24,0)+R24)/U24)-Paramètres!$B$11,0)*Paramètres!$C$12+MAX(MIN(Paramètres!$B$13,(O24+MAX(P24,0)+MAX(Q24+AD24,0)+R24)/U24)-Paramètres!$B$12,0)*Paramètres!$C$13)*U24</f>
        <v>33507.491686290363</v>
      </c>
      <c r="AG24" s="108">
        <f>MAX(AE24,AF24-Paramètres!$E$13*(T24-U24)*2)+MAX(P24,0)*Paramètres!$E$9+MAX(Q24+AD24,0)*Paramètres!$E$9+MAX(R24*Paramètres!$E$12,Paramètres!$E$11)</f>
        <v>34652.491686290363</v>
      </c>
      <c r="AH24" s="150">
        <f t="shared" si="7"/>
        <v>0</v>
      </c>
      <c r="AI24" s="149">
        <f t="shared" si="8"/>
        <v>0</v>
      </c>
      <c r="AJ24" s="108">
        <f>(MAX(MIN(Paramètres!$B$9,(O24+MAX(P24,0)+MAX(Q24+AI24,0)+R24)/T24),0)*Paramètres!$C$9+MAX(MIN(Paramètres!$B$10,(O24+MAX(P24,0)+MAX(Q24+AI24,0)+R24)/T24)-Paramètres!$B$9,0)*Paramètres!$C$10+MAX(MIN(Paramètres!$B$11,(O24+MAX(P24,0)+MAX(Q24+AI24,0)+R24)/T24)-Paramètres!$B$10,0)*Paramètres!$C$11+MAX(MIN(Paramètres!$B$12,(O24+MAX(P24,0)+MAX(Q24+AI24,0)+R24)/T24)-Paramètres!$B$11,0)*Paramètres!$C$12+MAX(MIN(Paramètres!$B$13,(O24+MAX(P24,0)+MAX(Q24+AI24,0)+R24)/T24)-Paramètres!$B$12,0)*Paramètres!$C$13)*T24</f>
        <v>33507.491686290363</v>
      </c>
      <c r="AK24" s="108">
        <f>(MAX(MIN(Paramètres!$B$9,(O24+MAX(P24,0)+MAX(Q24+AI24,0)+R24)/U24),0)*Paramètres!$C$9+MAX(MIN(Paramètres!$B$10,(O24+MAX(P24,0)+MAX(Q24+AI24,0)+R24)/U24)-Paramètres!$B$9,0)*Paramètres!$C$10+MAX(MIN(Paramètres!$B$11,(O24+MAX(P24,0)+MAX(Q24+AI24,0)+R24)/U24)-Paramètres!$B$10,0)*Paramètres!$C$11+MAX(MIN(Paramètres!$B$12,(O24+MAX(P24,0)+MAX(Q24+AI24,0)+R24)/U24)-Paramètres!$B$11,0)*Paramètres!$C$12+MAX(MIN(Paramètres!$B$13,(O24+MAX(P24,0)+MAX(Q24+AI24,0)+R24)/U24)-Paramètres!$B$12,0)*Paramètres!$C$13)*U24</f>
        <v>33507.491686290363</v>
      </c>
      <c r="AL24" s="108">
        <f>MAX(AJ24,AK24-Paramètres!$E$13*(T24-U24)*2)+MAX(P24,0)*Paramètres!$E$9+MAX(Q24+AI24,0)*Paramètres!$E$9+MAX(R24*Paramètres!$E$12,Paramètres!$E$11)</f>
        <v>34652.491686290363</v>
      </c>
      <c r="AM24" s="150">
        <f>MAX(AL24-11%/9*Simulation!$C$7*(B24&lt;=9),0)-X24</f>
        <v>0</v>
      </c>
      <c r="AN24" s="149">
        <f>MAX(MAX(C24-D24,0)-SUM(E24:H24),-MIN(SUM(O24:R24),Paramètres!$E$19+MAX(P24,0)))</f>
        <v>0</v>
      </c>
      <c r="AO24" s="108">
        <f t="shared" si="18"/>
        <v>0</v>
      </c>
      <c r="AP24" s="108">
        <f t="shared" si="22"/>
        <v>-1.8189894035458565E-12</v>
      </c>
      <c r="AQ24" s="108">
        <f t="shared" si="9"/>
        <v>0</v>
      </c>
      <c r="AR24" s="108">
        <f t="shared" si="10"/>
        <v>0</v>
      </c>
      <c r="AS24" s="108">
        <f>(MAX(MIN(Paramètres!$B$9,(O24+P24+AQ24+MAX(Q24,0)+R24)/T24),0)*Paramètres!$C$9+MAX(MIN(Paramètres!$B$10,(O24+P24+AQ24+MAX(Q24,0)+R24)/T24)-Paramètres!$B$9,0)*Paramètres!$C$10+MAX(MIN(Paramètres!$B$11,(O24+P24+AQ24+MAX(Q24,0)+R24)/T24)-Paramètres!$B$10,0)*Paramètres!$C$11+MAX(MIN(Paramètres!$B$12,(O24+P24+AQ24+MAX(Q24,0)+R24)/T24)-Paramètres!$B$11,0)*Paramètres!$C$12+MAX(MIN(Paramètres!$B$13,(O24+P24+AQ24+MAX(Q24,0)+R24)/T24)-Paramètres!$B$12,0)*Paramètres!$C$13)*T24</f>
        <v>33507.491686290363</v>
      </c>
      <c r="AT24" s="108">
        <f>(MAX(MIN(Paramètres!$B$9,(O24+P24+AQ24+MAX(Q24,0)+R24)/U24),0)*Paramètres!$C$9+MAX(MIN(Paramètres!$B$10,(O24+P24+AQ24+MAX(Q24,0)+R24)/U24)-Paramètres!$B$9,0)*Paramètres!$C$10+MAX(MIN(Paramètres!$B$11,(O24+P24+AQ24+MAX(Q24,0)+R24)/U24)-Paramètres!$B$10,0)*Paramètres!$C$11+MAX(MIN(Paramètres!$B$12,(O24+P24+AQ24+MAX(Q24,0)+R24)/U24)-Paramètres!$B$11,0)*Paramètres!$C$12+MAX(MIN(Paramètres!$B$13,(O24+P24+AQ24+MAX(Q24,0)+R24)/U24)-Paramètres!$B$12,0)*Paramètres!$C$13)*U24</f>
        <v>33507.491686290363</v>
      </c>
      <c r="AU24" s="108">
        <f>MAX(AS24,AT24-Paramètres!$E$13*(T24-U24)*2)+MAX(P24+AQ24,0)*Paramètres!$E$9+MAX(Q24,0)*Paramètres!$E$9+MAX(R24*Paramètres!$E$12,Paramètres!$E$11)</f>
        <v>34652.491686290363</v>
      </c>
      <c r="AV24" s="150">
        <f t="shared" si="2"/>
        <v>0</v>
      </c>
      <c r="AW24" s="108">
        <f t="shared" si="3"/>
        <v>0</v>
      </c>
      <c r="AX24" s="108">
        <f>(MAX(MIN(Paramètres!$B$9,(O24+MAX(P24+AW24,0)+MAX(Q24,0)+R24)/T24),0)*Paramètres!$C$9+MAX(MIN(Paramètres!$B$10,(O24+MAX(P24+AW24,0)+MAX(Q24,0)+R24)/T24)-Paramètres!$B$9,0)*Paramètres!$C$10+MAX(MIN(Paramètres!$B$11,(O24+MAX(P24+AW24,0)+MAX(Q24,0)+R24)/T24)-Paramètres!$B$10,0)*Paramètres!$C$11+MAX(MIN(Paramètres!$B$12,(O24+MAX(P24+AW24,0)+MAX(Q24,0)+R24)/T24)-Paramètres!$B$11,0)*Paramètres!$C$12+MAX(MIN(Paramètres!$B$13,(O24+MAX(P24+AW24,0)+MAX(Q24,0)+R24)/T24)-Paramètres!$B$12,0)*Paramètres!$C$13)*T24</f>
        <v>33507.491686290363</v>
      </c>
      <c r="AY24" s="108">
        <f>(MAX(MIN(Paramètres!$B$9,(O24+MAX(P24+AW24,0)+MAX(Q24,0)+R24)/U24),0)*Paramètres!$C$9+MAX(MIN(Paramètres!$B$10,(O24+MAX(P24+AW24,0)+MAX(Q24,0)+R24)/U24)-Paramètres!$B$9,0)*Paramètres!$C$10+MAX(MIN(Paramètres!$B$11,(O24+MAX(P24+AW24,0)+MAX(Q24,0)+R24)/U24)-Paramètres!$B$10,0)*Paramètres!$C$11+MAX(MIN(Paramètres!$B$12,(O24+MAX(P24+AW24,0)+MAX(Q24,0)+R24)/U24)-Paramètres!$B$11,0)*Paramètres!$C$12+MAX(MIN(Paramètres!$B$13,(O24+MAX(P24+AW24,0)+MAX(Q24,0)+R24)/U24)-Paramètres!$B$12,0)*Paramètres!$C$13)*U24</f>
        <v>33507.491686290363</v>
      </c>
      <c r="AZ24" s="108">
        <f>MAX(AX24,AY24-Paramètres!$E$13*(T24-U24)*2)+MAX(P24+AW24,0)*Paramètres!$E$9+MAX(Q24,0)*Paramètres!$E$9+MAX(R24*Paramètres!$E$12,Paramètres!$E$11)</f>
        <v>34652.491686290363</v>
      </c>
      <c r="BA24" s="108">
        <f t="shared" si="4"/>
        <v>0</v>
      </c>
      <c r="BB24" s="149">
        <f>MAX(MAX(C24-D24,0)-SUM(E24:H24),-MIN(SUM(O24:R24),Paramètres!$E$19+MAX(P24,0)))</f>
        <v>0</v>
      </c>
      <c r="BC24" s="108">
        <f t="shared" si="20"/>
        <v>0</v>
      </c>
      <c r="BD24" s="108">
        <f t="shared" si="23"/>
        <v>-1.8189894035458565E-12</v>
      </c>
      <c r="BE24" s="108">
        <f t="shared" si="11"/>
        <v>0</v>
      </c>
      <c r="BF24" s="108">
        <f t="shared" si="12"/>
        <v>0</v>
      </c>
      <c r="BG24" s="108">
        <f>(MAX(MIN(Paramètres!$B$9,(O24+P24+BE24+MAX(Q24,0)+R24)/T24),0)*Paramètres!$C$9+MAX(MIN(Paramètres!$B$10,(O24+P24+BE24+MAX(Q24,0)+R24)/T24)-Paramètres!$B$9,0)*Paramètres!$C$10+MAX(MIN(Paramètres!$B$11,(O24+P24+BE24+MAX(Q24,0)+R24)/T24)-Paramètres!$B$10,0)*Paramètres!$C$11+MAX(MIN(Paramètres!$B$12,(O24+P24+BE24+MAX(Q24,0)+R24)/T24)-Paramètres!$B$11,0)*Paramètres!$C$12+MAX(MIN(Paramètres!$B$13,(O24+P24+BE24+MAX(Q24,0)+R24)/T24)-Paramètres!$B$12,0)*Paramètres!$C$13)*T24</f>
        <v>33507.491686290363</v>
      </c>
      <c r="BH24" s="108">
        <f>(MAX(MIN(Paramètres!$B$9,(O24+P24+BE24+MAX(Q24,0)+R24)/U24),0)*Paramètres!$C$9+MAX(MIN(Paramètres!$B$10,(O24+P24+BE24+MAX(Q24,0)+R24)/U24)-Paramètres!$B$9,0)*Paramètres!$C$10+MAX(MIN(Paramètres!$B$11,(O24+P24+BE24+MAX(Q24,0)+R24)/U24)-Paramètres!$B$10,0)*Paramètres!$C$11+MAX(MIN(Paramètres!$B$12,(O24+P24+BE24+MAX(Q24,0)+R24)/U24)-Paramètres!$B$11,0)*Paramètres!$C$12+MAX(MIN(Paramètres!$B$13,(O24+P24+BE24+MAX(Q24,0)+R24)/U24)-Paramètres!$B$12,0)*Paramètres!$C$13)*U24</f>
        <v>33507.491686290363</v>
      </c>
      <c r="BI24" s="108">
        <f>MAX(BG24,BH24-Paramètres!$E$13*(T24-U24)*2)+MAX(P24+BE24,0)*Paramètres!$E$9+MAX(Q24,0)*Paramètres!$E$9+MAX(R24*Paramètres!$E$12,Paramètres!$E$11)</f>
        <v>34652.491686290363</v>
      </c>
      <c r="BJ24" s="150">
        <f>MAX(BI24-IFERROR(VLOOKUP(B24,Paramètres!$B$28:$C$39,2,FALSE),0)*MIN(MIN((Simulation!$C$7+Simulation!$C$12+Simulation!$C$8+Simulation!$C$10)/Simulation!$C$28,Paramètres!$C$26)*Simulation!$C$28,Paramètres!$C$25),0)-X24</f>
        <v>0</v>
      </c>
      <c r="BK24" s="108">
        <f t="shared" si="13"/>
        <v>0</v>
      </c>
      <c r="BL24" s="108">
        <f>(MAX(MIN(Paramètres!$B$9,(O24+MAX(P24+BK24,0)+MAX(Q24,0)+R24)/T24),0)*Paramètres!$C$9+MAX(MIN(Paramètres!$B$10,(O24+MAX(P24+BK24,0)+MAX(Q24,0)+R24)/T24)-Paramètres!$B$9,0)*Paramètres!$C$10+MAX(MIN(Paramètres!$B$11,(O24+MAX(P24+BK24,0)+MAX(Q24,0)+R24)/T24)-Paramètres!$B$10,0)*Paramètres!$C$11+MAX(MIN(Paramètres!$B$12,(O24+MAX(P24+BK24,0)+MAX(Q24,0)+R24)/T24)-Paramètres!$B$11,0)*Paramètres!$C$12+MAX(MIN(Paramètres!$B$13,(O24+MAX(P24+BK24,0)+MAX(Q24,0)+R24)/T24)-Paramètres!$B$12,0)*Paramètres!$C$13)*T24</f>
        <v>33507.491686290363</v>
      </c>
      <c r="BM24" s="108">
        <f>(MAX(MIN(Paramètres!$B$9,(O24+MAX(P24+BK24,0)+MAX(Q24,0)+R24)/U24),0)*Paramètres!$C$9+MAX(MIN(Paramètres!$B$10,(O24+MAX(P24+BK24,0)+MAX(Q24,0)+R24)/U24)-Paramètres!$B$9,0)*Paramètres!$C$10+MAX(MIN(Paramètres!$B$11,(O24+MAX(P24+BK24,0)+MAX(Q24,0)+R24)/U24)-Paramètres!$B$10,0)*Paramètres!$C$11+MAX(MIN(Paramètres!$B$12,(O24+MAX(P24+BK24,0)+MAX(Q24,0)+R24)/U24)-Paramètres!$B$11,0)*Paramètres!$C$12+MAX(MIN(Paramètres!$B$13,(O24+MAX(P24+BK24,0)+MAX(Q24,0)+R24)/U24)-Paramètres!$B$12,0)*Paramètres!$C$13)*U24</f>
        <v>33507.491686290363</v>
      </c>
      <c r="BN24" s="108">
        <f>MAX(BL24,BM24-Paramètres!$E$13*(T24-U24)*2)+MAX(P24+BK24,0)*Paramètres!$E$9+MAX(Q24,0)*Paramètres!$E$9+MAX(R24*Paramètres!$E$12,Paramètres!$E$11)</f>
        <v>34652.491686290363</v>
      </c>
      <c r="BO24" s="108">
        <f>MAX(BN24-IFERROR(VLOOKUP(B24,Paramètres!$B$28:$C$39,2,FALSE),0)*MIN(MIN((Simulation!$C$7+Simulation!$C$12+Simulation!$C$8+Simulation!$C$10)/Simulation!$C$28,Paramètres!$C$26)*Simulation!$C$28,Paramètres!$C$25),0)-X24</f>
        <v>0</v>
      </c>
      <c r="BP24" s="126">
        <f t="shared" si="14"/>
        <v>0</v>
      </c>
      <c r="BQ24" s="108">
        <f t="shared" si="15"/>
        <v>0</v>
      </c>
      <c r="BR24" s="108">
        <f t="shared" si="21"/>
        <v>0</v>
      </c>
      <c r="BS24" s="108">
        <f t="shared" si="19"/>
        <v>0</v>
      </c>
      <c r="BT24" s="108">
        <f t="shared" si="16"/>
        <v>0</v>
      </c>
      <c r="BU24" s="108">
        <f>(MAX(MIN(Paramètres!$B$9,(O24+MAX(P24,0)+MAX(Q24,0)+R24+BS24)/T24),0)*Paramètres!$C$9+MAX(MIN(Paramètres!$B$10,(O24+MAX(P24,0)+MAX(Q24,0)+R24+BS24)/T24)-Paramètres!$B$9,0)*Paramètres!$C$10+MAX(MIN(Paramètres!$B$11,(O24+MAX(P24,0)+MAX(Q24,0)+R24+BS24)/T24)-Paramètres!$B$10,0)*Paramètres!$C$11+MAX(MIN(Paramètres!$B$12,(O24+MAX(P24,0)+MAX(Q24,0)+R24+BS24)/T24)-Paramètres!$B$11,0)*Paramètres!$C$12+MAX(MIN(Paramètres!$B$13,(O24+MAX(P24,0)+MAX(Q24,0)+R24+BS24)/T24)-Paramètres!$B$12,0)*Paramètres!$C$13)*T24</f>
        <v>33507.491686290363</v>
      </c>
      <c r="BV24" s="108">
        <f>(MAX(MIN(Paramètres!$B$9,(O24+MAX(P24,0)+MAX(Q24,0)+R24+BS24)/U24),0)*Paramètres!$C$9+MAX(MIN(Paramètres!$B$10,(O24+MAX(P24,0)+MAX(Q24,0)+R24+BS24)/U24)-Paramètres!$B$9,0)*Paramètres!$C$10+MAX(MIN(Paramètres!$B$11,(O24+MAX(P24,0)+MAX(Q24,0)+R24+BS24)/U24)-Paramètres!$B$10,0)*Paramètres!$C$11+MAX(MIN(Paramètres!$B$12,(O24+MAX(P24,0)+MAX(Q24,0)+R24+BS24)/U24)-Paramètres!$B$11,0)*Paramètres!$C$12+MAX(MIN(Paramètres!$B$13,(O24+MAX(P24,0)+MAX(Q24,0)+R24+BS24)/U24)-Paramètres!$B$12,0)*Paramètres!$C$13)*U24</f>
        <v>33507.491686290363</v>
      </c>
      <c r="BW24" s="108">
        <f>MAX(BU24,BV24-Paramètres!$E$13*(T24-U24)*2)+MAX(P24,0)*Paramètres!$E$9+MAX(Q24,0)*Paramètres!$E$9+MAX((R24+BS24)*Paramètres!$E$12,Paramètres!$E$11)</f>
        <v>34652.491686290363</v>
      </c>
      <c r="BX24" s="108">
        <f t="shared" si="17"/>
        <v>0</v>
      </c>
      <c r="BY24" s="149">
        <f>(C24-SUM(D24:N24)+MIN(BY23,0))*(B24&lt;=Simulation!$F$24)</f>
        <v>0</v>
      </c>
      <c r="BZ24" s="108">
        <f>(Simulation!$F$22-(Simulation!$C$13-SUM($I$8:$N$37)))*(B24=Simulation!$F$24)</f>
        <v>0</v>
      </c>
      <c r="CA24" s="108">
        <f>MAX(MIN(BY24+BZ24,Paramètres!$B$17)*Paramètres!$C$17+MAX(MIN(BY24+BZ24,Paramètres!$B$18)-Paramètres!$B$17,0)*Paramètres!$C$18+MAX(MIN(BY24+BZ24,Paramètres!$B$19)-Paramètres!$B$18,0)*Paramètres!$C$19,0)</f>
        <v>0</v>
      </c>
      <c r="CB24" s="150">
        <f>MAX(MIN(BY24,Paramètres!$B$17)*Paramètres!$C$17+MAX(MIN(BY24,Paramètres!$B$18)-Paramètres!$B$17,0)*Paramètres!$C$18+MAX(MIN(BY24,Paramètres!$B$19)-Paramètres!$B$18,0)*Paramètres!$C$19,0)</f>
        <v>0</v>
      </c>
      <c r="CC24" s="108">
        <f>(C24-SUM(D24:N24)+MIN(CC23,0))*(B24&lt;=Simulation!$F$24)</f>
        <v>0</v>
      </c>
      <c r="CD24" s="108">
        <f>(Simulation!$F$22-(Simulation!$C$13-SUM($I$8:$N$37)))*(B24=Simulation!$F$24)</f>
        <v>0</v>
      </c>
      <c r="CE24" s="108">
        <f>MAX(MIN(CC24+CD24,Paramètres!$B$17)*Paramètres!$C$17+MAX(MIN(CC24+CD24,Paramètres!$B$18)-Paramètres!$B$17,0)*Paramètres!$C$18+MAX(MIN(CC24+CD24,Paramètres!$B$19)-Paramètres!$B$18,0)*Paramètres!$C$19,0)</f>
        <v>0</v>
      </c>
      <c r="CF24" s="108">
        <f>MAX(MIN(CC24,Paramètres!$B$17)*Paramètres!$C$17+MAX(MIN(CC24,Paramètres!$B$18)-Paramètres!$B$17,0)*Paramètres!$C$18+MAX(MIN(CC24,Paramètres!$B$19)-Paramètres!$B$18,0)*Paramètres!$C$19,0)</f>
        <v>0</v>
      </c>
      <c r="CG24" s="108">
        <f>MAX(CC24+CD24-CF24,0)*(1-Paramètres!$E$17)*Paramètres!$E$18</f>
        <v>0</v>
      </c>
      <c r="CH24" s="54">
        <f>MAX(CC24-CF24,0)*(1-Paramètres!$E$17)*Paramètres!$E$18</f>
        <v>0</v>
      </c>
      <c r="CI24" s="127">
        <f ca="1">OFFSET($AC24,0,VLOOKUP(Simulation!$C$27,Simulation!$Q$5:$R$14,2,FALSE))</f>
        <v>0</v>
      </c>
      <c r="CK24" s="167"/>
      <c r="CL24" s="167"/>
      <c r="CM24" s="167"/>
      <c r="CN24" s="167"/>
      <c r="CO24" s="167"/>
      <c r="CP24" s="167"/>
      <c r="CQ24" s="167"/>
      <c r="CR24" s="167"/>
      <c r="CS24" s="167"/>
      <c r="CT24" s="167"/>
      <c r="CU24" s="167"/>
      <c r="CV24" s="167"/>
    </row>
    <row r="25" spans="2:100" x14ac:dyDescent="0.2">
      <c r="B25" s="40">
        <f t="shared" si="0"/>
        <v>18</v>
      </c>
      <c r="C25" s="143">
        <f>SUMPRODUCT('Détail trésorerie'!$H$8:$H$367*('Détail trésorerie'!$B$8:$B$367&gt;$B24*12)*('Détail trésorerie'!$B$8:$B$367&lt;=$B25*12))</f>
        <v>0</v>
      </c>
      <c r="D25" s="143">
        <f>SUMPRODUCT('Détail trésorerie'!$E$8:$E$367*('Détail trésorerie'!$B$8:$B$367&gt;$B24*12)*('Détail trésorerie'!$B$8:$B$367&lt;=$B25*12))</f>
        <v>0</v>
      </c>
      <c r="E25" s="144">
        <f>SUMPRODUCT('Détail trésorerie'!$J$8:$J$367*('Détail trésorerie'!$B$8:$B$367&gt;$B24*12)*('Détail trésorerie'!$B$8:$B$367&lt;=$B25*12))</f>
        <v>0</v>
      </c>
      <c r="F25" s="144">
        <f>SUMPRODUCT('Détail trésorerie'!$K$8:$K$367*('Détail trésorerie'!$B$8:$B$367&gt;$B24*12)*('Détail trésorerie'!$B$8:$B$367&lt;=$B25*12))</f>
        <v>0</v>
      </c>
      <c r="G25" s="144">
        <f>SUMPRODUCT('Détail trésorerie'!$L$8:$L$367*('Détail trésorerie'!$B$8:$B$367&gt;$B24*12)*('Détail trésorerie'!$B$8:$B$367&lt;=$B25*12))</f>
        <v>0</v>
      </c>
      <c r="H25" s="145">
        <f>SUMPRODUCT('Détail trésorerie'!$M$8:$M$367*('Détail trésorerie'!$B$8:$B$367&gt;$B24*12)*('Détail trésorerie'!$B$8:$B$367&lt;=$B25*12))</f>
        <v>0</v>
      </c>
      <c r="I25" s="126">
        <f>MAX(MIN(Paramètres!$E$3*Simulation!$C$7*Paramètres!$C$3,Simulation!$C$7*Paramètres!$E$3-SUM(I$8:$I24)),0)*(B25&lt;=Simulation!$F$24)</f>
        <v>0</v>
      </c>
      <c r="J25" s="108">
        <f>MAX(MIN(Paramètres!$E$4*Simulation!$C$7*Paramètres!$C$4,Simulation!$C$7*Paramètres!$E$4-SUM($J$8:J24)),0)*(B25&lt;=Simulation!$F$24)</f>
        <v>0</v>
      </c>
      <c r="K25" s="108">
        <f>MAX(MIN(Paramètres!$E$5*Simulation!$C$8*Paramètres!$C$5,Paramètres!$E$5*Simulation!$C$8-SUM($K$8:K24)),0)*(B25&lt;=Simulation!$F$24)</f>
        <v>0</v>
      </c>
      <c r="L25" s="108">
        <v>0</v>
      </c>
      <c r="M25" s="108">
        <v>0</v>
      </c>
      <c r="N25" s="108">
        <f>MAX(MIN(Paramètres!$C$6*(Simulation!$C$10+Simulation!$C$11+Simulation!$C$12),(Simulation!$C$10+Simulation!$C$11+Simulation!$C$12)-SUM(N$8:N24)),0)*(B25&lt;=Simulation!$F$24)</f>
        <v>0</v>
      </c>
      <c r="O25" s="148">
        <f>25000*8/2*(1+Emprunteur!$F$7)^$B25</f>
        <v>119614.74756866653</v>
      </c>
      <c r="P25" s="165">
        <f>0*(1+Emprunteur!$F$8)^$B25</f>
        <v>0</v>
      </c>
      <c r="Q25" s="165">
        <f>0*(1+Emprunteur!$F$9)^$B25</f>
        <v>0</v>
      </c>
      <c r="R25" s="165">
        <f>0*(1+Emprunteur!$F$10)^$B25</f>
        <v>0</v>
      </c>
      <c r="S25" s="108">
        <f t="shared" si="5"/>
        <v>119614.74756866653</v>
      </c>
      <c r="T25" s="157">
        <v>1</v>
      </c>
      <c r="U25" s="157">
        <v>1</v>
      </c>
      <c r="V25" s="108">
        <f>(MAX(MIN(Paramètres!$B$9,S25/T25),0)*Paramètres!$C$9+MAX(MIN(Paramètres!$B$10,S25/T25)-Paramètres!$B$9,0)*Paramètres!$C$10+MAX(MIN(Paramètres!$B$11,S25/T25)-Paramètres!$B$10,0)*Paramètres!$C$11+MAX(MIN(Paramètres!$B$12,S25/T25)-Paramètres!$B$11,0)*Paramètres!$C$12+MAX(MIN(Paramètres!$B$13,S25/T25)-Paramètres!$B$12,0)*Paramètres!$C$13)*T25</f>
        <v>33993.056503153275</v>
      </c>
      <c r="W25" s="108">
        <f>(MAX(MIN(Paramètres!$B$9,S25/U25),0)*Paramètres!$C$9+MAX(MIN(Paramètres!$B$10,S25/U25)-Paramètres!$B$9,0)*Paramètres!$C$10+MAX(MIN(Paramètres!$B$11,S25/U25)-Paramètres!$B$10,0)*Paramètres!$C$11+MAX(MIN(Paramètres!$B$12,S25/U25)-Paramètres!$B$11,0)*Paramètres!$C$12+MAX(MIN(Paramètres!$B$13,S25/U25)-Paramètres!$B$12,0)*Paramètres!$C$13)*U25</f>
        <v>33993.056503153275</v>
      </c>
      <c r="X25" s="108">
        <f>MAX(V25,W25-Paramètres!$E$13*(T25-U25)*2)+MAX(P25,0)*Paramètres!$E$9+MAX(Q25,0)*Paramètres!$E$9+MAX(R25*Paramètres!$E$12,Paramètres!$E$11)</f>
        <v>35138.056503153275</v>
      </c>
      <c r="Y25" s="126">
        <f>(C25-SUM(D25:N25)+MIN(Y24,0))*(B25&lt;=Simulation!$F$24)</f>
        <v>0</v>
      </c>
      <c r="Z25" s="108">
        <f>(MAX(MIN(Paramètres!$B$9,(O25+MAX(P25,0)+MAX(Q25+Y25,0)+R25)/T25),0)*Paramètres!$C$9+MAX(MIN(Paramètres!$B$10,(O25+MAX(P25,0)+MAX(Q25+Y25,0)+R25)/T25)-Paramètres!$B$9,0)*Paramètres!$C$10+MAX(MIN(Paramètres!$B$11,(O25+MAX(P25,0)+MAX(Q25+Y25,0)+R25)/T25)-Paramètres!$B$10,0)*Paramètres!$C$11+MAX(MIN(Paramètres!$B$12,(O25+MAX(P25,0)+MAX(Q25+Y25,0)+R25)/T25)-Paramètres!$B$11,0)*Paramètres!$C$12+MAX(MIN(Paramètres!$B$13,(O25+MAX(P25,0)+MAX(Q25+Y25,0)+R25)/T25)-Paramètres!$B$12,0)*Paramètres!$C$13)*T25</f>
        <v>33993.056503153275</v>
      </c>
      <c r="AA25" s="108">
        <f>(MAX(MIN(Paramètres!$B$9,(O25+MAX(P25,0)+MAX(Q25+Y25,0)+R25)/U25),0)*Paramètres!$C$9+MAX(MIN(Paramètres!$B$10,(O25+MAX(P25,0)+MAX(Q25+Y25,0)+R25)/U25)-Paramètres!$B$9,0)*Paramètres!$C$10+MAX(MIN(Paramètres!$B$11,(O25+MAX(P25,0)+MAX(Q25+Y25,0)+R25)/U25)-Paramètres!$B$10,0)*Paramètres!$C$11+MAX(MIN(Paramètres!$B$12,(O25+MAX(P25,0)+MAX(Q25+Y25,0)+R25)/U25)-Paramètres!$B$11,0)*Paramètres!$C$12+MAX(MIN(Paramètres!$B$13,(O25+MAX(P25,0)+MAX(Q25+Y25,0)+R25)/U25)-Paramètres!$B$12,0)*Paramètres!$C$13)*U25</f>
        <v>33993.056503153275</v>
      </c>
      <c r="AB25" s="108">
        <f>MAX(Z25,AA25-Paramètres!$E$13*(T25-U25)*2)+MAX(P25,0)*Paramètres!$E$9+MAX(Q25+Y25,0)*Paramètres!$E$9+MAX(R25*Paramètres!$E$12,Paramètres!$E$11)</f>
        <v>35138.056503153275</v>
      </c>
      <c r="AC25" s="108">
        <f t="shared" si="6"/>
        <v>0</v>
      </c>
      <c r="AD25" s="149">
        <f t="shared" si="1"/>
        <v>0</v>
      </c>
      <c r="AE25" s="108">
        <f>(MAX(MIN(Paramètres!$B$9,(O25+MAX(P25,0)+MAX(Q25+AD25,0)+R25)/T25),0)*Paramètres!$C$9+MAX(MIN(Paramètres!$B$10,(O25+MAX(P25,0)+MAX(Q25+AD25,0)+R25)/T25)-Paramètres!$B$9,0)*Paramètres!$C$10+MAX(MIN(Paramètres!$B$11,(O25+MAX(P25,0)+MAX(Q25+AD25,0)+R25)/T25)-Paramètres!$B$10,0)*Paramètres!$C$11+MAX(MIN(Paramètres!$B$12,(O25+MAX(P25,0)+MAX(Q25+AD25,0)+R25)/T25)-Paramètres!$B$11,0)*Paramètres!$C$12+MAX(MIN(Paramètres!$B$13,(O25+MAX(P25,0)+MAX(Q25+AD25,0)+R25)/T25)-Paramètres!$B$12,0)*Paramètres!$C$13)*T25</f>
        <v>33993.056503153275</v>
      </c>
      <c r="AF25" s="108">
        <f>(MAX(MIN(Paramètres!$B$9,(O25+MAX(P25,0)+MAX(Q25+AD25,0)+R25)/U25),0)*Paramètres!$C$9+MAX(MIN(Paramètres!$B$10,(O25+MAX(P25,0)+MAX(Q25+AD25,0)+R25)/U25)-Paramètres!$B$9,0)*Paramètres!$C$10+MAX(MIN(Paramètres!$B$11,(O25+MAX(P25,0)+MAX(Q25+AD25,0)+R25)/U25)-Paramètres!$B$10,0)*Paramètres!$C$11+MAX(MIN(Paramètres!$B$12,(O25+MAX(P25,0)+MAX(Q25+AD25,0)+R25)/U25)-Paramètres!$B$11,0)*Paramètres!$C$12+MAX(MIN(Paramètres!$B$13,(O25+MAX(P25,0)+MAX(Q25+AD25,0)+R25)/U25)-Paramètres!$B$12,0)*Paramètres!$C$13)*U25</f>
        <v>33993.056503153275</v>
      </c>
      <c r="AG25" s="108">
        <f>MAX(AE25,AF25-Paramètres!$E$13*(T25-U25)*2)+MAX(P25,0)*Paramètres!$E$9+MAX(Q25+AD25,0)*Paramètres!$E$9+MAX(R25*Paramètres!$E$12,Paramètres!$E$11)</f>
        <v>35138.056503153275</v>
      </c>
      <c r="AH25" s="150">
        <f t="shared" si="7"/>
        <v>0</v>
      </c>
      <c r="AI25" s="149">
        <f t="shared" si="8"/>
        <v>0</v>
      </c>
      <c r="AJ25" s="108">
        <f>(MAX(MIN(Paramètres!$B$9,(O25+MAX(P25,0)+MAX(Q25+AI25,0)+R25)/T25),0)*Paramètres!$C$9+MAX(MIN(Paramètres!$B$10,(O25+MAX(P25,0)+MAX(Q25+AI25,0)+R25)/T25)-Paramètres!$B$9,0)*Paramètres!$C$10+MAX(MIN(Paramètres!$B$11,(O25+MAX(P25,0)+MAX(Q25+AI25,0)+R25)/T25)-Paramètres!$B$10,0)*Paramètres!$C$11+MAX(MIN(Paramètres!$B$12,(O25+MAX(P25,0)+MAX(Q25+AI25,0)+R25)/T25)-Paramètres!$B$11,0)*Paramètres!$C$12+MAX(MIN(Paramètres!$B$13,(O25+MAX(P25,0)+MAX(Q25+AI25,0)+R25)/T25)-Paramètres!$B$12,0)*Paramètres!$C$13)*T25</f>
        <v>33993.056503153275</v>
      </c>
      <c r="AK25" s="108">
        <f>(MAX(MIN(Paramètres!$B$9,(O25+MAX(P25,0)+MAX(Q25+AI25,0)+R25)/U25),0)*Paramètres!$C$9+MAX(MIN(Paramètres!$B$10,(O25+MAX(P25,0)+MAX(Q25+AI25,0)+R25)/U25)-Paramètres!$B$9,0)*Paramètres!$C$10+MAX(MIN(Paramètres!$B$11,(O25+MAX(P25,0)+MAX(Q25+AI25,0)+R25)/U25)-Paramètres!$B$10,0)*Paramètres!$C$11+MAX(MIN(Paramètres!$B$12,(O25+MAX(P25,0)+MAX(Q25+AI25,0)+R25)/U25)-Paramètres!$B$11,0)*Paramètres!$C$12+MAX(MIN(Paramètres!$B$13,(O25+MAX(P25,0)+MAX(Q25+AI25,0)+R25)/U25)-Paramètres!$B$12,0)*Paramètres!$C$13)*U25</f>
        <v>33993.056503153275</v>
      </c>
      <c r="AL25" s="108">
        <f>MAX(AJ25,AK25-Paramètres!$E$13*(T25-U25)*2)+MAX(P25,0)*Paramètres!$E$9+MAX(Q25+AI25,0)*Paramètres!$E$9+MAX(R25*Paramètres!$E$12,Paramètres!$E$11)</f>
        <v>35138.056503153275</v>
      </c>
      <c r="AM25" s="150">
        <f>MAX(AL25-11%/9*Simulation!$C$7*(B25&lt;=9),0)-X25</f>
        <v>0</v>
      </c>
      <c r="AN25" s="149">
        <f>MAX(MAX(C25-D25,0)-SUM(E25:H25),-MIN(SUM(O25:R25),Paramètres!$E$19+MAX(P25,0)))</f>
        <v>0</v>
      </c>
      <c r="AO25" s="108">
        <f t="shared" si="18"/>
        <v>0</v>
      </c>
      <c r="AP25" s="108">
        <f t="shared" si="22"/>
        <v>-1.8189894035458565E-12</v>
      </c>
      <c r="AQ25" s="108">
        <f t="shared" si="9"/>
        <v>0</v>
      </c>
      <c r="AR25" s="108">
        <f t="shared" si="10"/>
        <v>0</v>
      </c>
      <c r="AS25" s="108">
        <f>(MAX(MIN(Paramètres!$B$9,(O25+P25+AQ25+MAX(Q25,0)+R25)/T25),0)*Paramètres!$C$9+MAX(MIN(Paramètres!$B$10,(O25+P25+AQ25+MAX(Q25,0)+R25)/T25)-Paramètres!$B$9,0)*Paramètres!$C$10+MAX(MIN(Paramètres!$B$11,(O25+P25+AQ25+MAX(Q25,0)+R25)/T25)-Paramètres!$B$10,0)*Paramètres!$C$11+MAX(MIN(Paramètres!$B$12,(O25+P25+AQ25+MAX(Q25,0)+R25)/T25)-Paramètres!$B$11,0)*Paramètres!$C$12+MAX(MIN(Paramètres!$B$13,(O25+P25+AQ25+MAX(Q25,0)+R25)/T25)-Paramètres!$B$12,0)*Paramètres!$C$13)*T25</f>
        <v>33993.056503153275</v>
      </c>
      <c r="AT25" s="108">
        <f>(MAX(MIN(Paramètres!$B$9,(O25+P25+AQ25+MAX(Q25,0)+R25)/U25),0)*Paramètres!$C$9+MAX(MIN(Paramètres!$B$10,(O25+P25+AQ25+MAX(Q25,0)+R25)/U25)-Paramètres!$B$9,0)*Paramètres!$C$10+MAX(MIN(Paramètres!$B$11,(O25+P25+AQ25+MAX(Q25,0)+R25)/U25)-Paramètres!$B$10,0)*Paramètres!$C$11+MAX(MIN(Paramètres!$B$12,(O25+P25+AQ25+MAX(Q25,0)+R25)/U25)-Paramètres!$B$11,0)*Paramètres!$C$12+MAX(MIN(Paramètres!$B$13,(O25+P25+AQ25+MAX(Q25,0)+R25)/U25)-Paramètres!$B$12,0)*Paramètres!$C$13)*U25</f>
        <v>33993.056503153275</v>
      </c>
      <c r="AU25" s="108">
        <f>MAX(AS25,AT25-Paramètres!$E$13*(T25-U25)*2)+MAX(P25+AQ25,0)*Paramètres!$E$9+MAX(Q25,0)*Paramètres!$E$9+MAX(R25*Paramètres!$E$12,Paramètres!$E$11)</f>
        <v>35138.056503153275</v>
      </c>
      <c r="AV25" s="150">
        <f t="shared" si="2"/>
        <v>0</v>
      </c>
      <c r="AW25" s="108">
        <f t="shared" si="3"/>
        <v>0</v>
      </c>
      <c r="AX25" s="108">
        <f>(MAX(MIN(Paramètres!$B$9,(O25+MAX(P25+AW25,0)+MAX(Q25,0)+R25)/T25),0)*Paramètres!$C$9+MAX(MIN(Paramètres!$B$10,(O25+MAX(P25+AW25,0)+MAX(Q25,0)+R25)/T25)-Paramètres!$B$9,0)*Paramètres!$C$10+MAX(MIN(Paramètres!$B$11,(O25+MAX(P25+AW25,0)+MAX(Q25,0)+R25)/T25)-Paramètres!$B$10,0)*Paramètres!$C$11+MAX(MIN(Paramètres!$B$12,(O25+MAX(P25+AW25,0)+MAX(Q25,0)+R25)/T25)-Paramètres!$B$11,0)*Paramètres!$C$12+MAX(MIN(Paramètres!$B$13,(O25+MAX(P25+AW25,0)+MAX(Q25,0)+R25)/T25)-Paramètres!$B$12,0)*Paramètres!$C$13)*T25</f>
        <v>33993.056503153275</v>
      </c>
      <c r="AY25" s="108">
        <f>(MAX(MIN(Paramètres!$B$9,(O25+MAX(P25+AW25,0)+MAX(Q25,0)+R25)/U25),0)*Paramètres!$C$9+MAX(MIN(Paramètres!$B$10,(O25+MAX(P25+AW25,0)+MAX(Q25,0)+R25)/U25)-Paramètres!$B$9,0)*Paramètres!$C$10+MAX(MIN(Paramètres!$B$11,(O25+MAX(P25+AW25,0)+MAX(Q25,0)+R25)/U25)-Paramètres!$B$10,0)*Paramètres!$C$11+MAX(MIN(Paramètres!$B$12,(O25+MAX(P25+AW25,0)+MAX(Q25,0)+R25)/U25)-Paramètres!$B$11,0)*Paramètres!$C$12+MAX(MIN(Paramètres!$B$13,(O25+MAX(P25+AW25,0)+MAX(Q25,0)+R25)/U25)-Paramètres!$B$12,0)*Paramètres!$C$13)*U25</f>
        <v>33993.056503153275</v>
      </c>
      <c r="AZ25" s="108">
        <f>MAX(AX25,AY25-Paramètres!$E$13*(T25-U25)*2)+MAX(P25+AW25,0)*Paramètres!$E$9+MAX(Q25,0)*Paramètres!$E$9+MAX(R25*Paramètres!$E$12,Paramètres!$E$11)</f>
        <v>35138.056503153275</v>
      </c>
      <c r="BA25" s="108">
        <f t="shared" si="4"/>
        <v>0</v>
      </c>
      <c r="BB25" s="149">
        <f>MAX(MAX(C25-D25,0)-SUM(E25:H25),-MIN(SUM(O25:R25),Paramètres!$E$19+MAX(P25,0)))</f>
        <v>0</v>
      </c>
      <c r="BC25" s="108">
        <f t="shared" si="20"/>
        <v>0</v>
      </c>
      <c r="BD25" s="108">
        <f t="shared" si="23"/>
        <v>-1.8189894035458565E-12</v>
      </c>
      <c r="BE25" s="108">
        <f t="shared" si="11"/>
        <v>0</v>
      </c>
      <c r="BF25" s="108">
        <f t="shared" si="12"/>
        <v>0</v>
      </c>
      <c r="BG25" s="108">
        <f>(MAX(MIN(Paramètres!$B$9,(O25+P25+BE25+MAX(Q25,0)+R25)/T25),0)*Paramètres!$C$9+MAX(MIN(Paramètres!$B$10,(O25+P25+BE25+MAX(Q25,0)+R25)/T25)-Paramètres!$B$9,0)*Paramètres!$C$10+MAX(MIN(Paramètres!$B$11,(O25+P25+BE25+MAX(Q25,0)+R25)/T25)-Paramètres!$B$10,0)*Paramètres!$C$11+MAX(MIN(Paramètres!$B$12,(O25+P25+BE25+MAX(Q25,0)+R25)/T25)-Paramètres!$B$11,0)*Paramètres!$C$12+MAX(MIN(Paramètres!$B$13,(O25+P25+BE25+MAX(Q25,0)+R25)/T25)-Paramètres!$B$12,0)*Paramètres!$C$13)*T25</f>
        <v>33993.056503153275</v>
      </c>
      <c r="BH25" s="108">
        <f>(MAX(MIN(Paramètres!$B$9,(O25+P25+BE25+MAX(Q25,0)+R25)/U25),0)*Paramètres!$C$9+MAX(MIN(Paramètres!$B$10,(O25+P25+BE25+MAX(Q25,0)+R25)/U25)-Paramètres!$B$9,0)*Paramètres!$C$10+MAX(MIN(Paramètres!$B$11,(O25+P25+BE25+MAX(Q25,0)+R25)/U25)-Paramètres!$B$10,0)*Paramètres!$C$11+MAX(MIN(Paramètres!$B$12,(O25+P25+BE25+MAX(Q25,0)+R25)/U25)-Paramètres!$B$11,0)*Paramètres!$C$12+MAX(MIN(Paramètres!$B$13,(O25+P25+BE25+MAX(Q25,0)+R25)/U25)-Paramètres!$B$12,0)*Paramètres!$C$13)*U25</f>
        <v>33993.056503153275</v>
      </c>
      <c r="BI25" s="108">
        <f>MAX(BG25,BH25-Paramètres!$E$13*(T25-U25)*2)+MAX(P25+BE25,0)*Paramètres!$E$9+MAX(Q25,0)*Paramètres!$E$9+MAX(R25*Paramètres!$E$12,Paramètres!$E$11)</f>
        <v>35138.056503153275</v>
      </c>
      <c r="BJ25" s="150">
        <f>MAX(BI25-IFERROR(VLOOKUP(B25,Paramètres!$B$28:$C$39,2,FALSE),0)*MIN(MIN((Simulation!$C$7+Simulation!$C$12+Simulation!$C$8+Simulation!$C$10)/Simulation!$C$28,Paramètres!$C$26)*Simulation!$C$28,Paramètres!$C$25),0)-X25</f>
        <v>0</v>
      </c>
      <c r="BK25" s="108">
        <f t="shared" si="13"/>
        <v>0</v>
      </c>
      <c r="BL25" s="108">
        <f>(MAX(MIN(Paramètres!$B$9,(O25+MAX(P25+BK25,0)+MAX(Q25,0)+R25)/T25),0)*Paramètres!$C$9+MAX(MIN(Paramètres!$B$10,(O25+MAX(P25+BK25,0)+MAX(Q25,0)+R25)/T25)-Paramètres!$B$9,0)*Paramètres!$C$10+MAX(MIN(Paramètres!$B$11,(O25+MAX(P25+BK25,0)+MAX(Q25,0)+R25)/T25)-Paramètres!$B$10,0)*Paramètres!$C$11+MAX(MIN(Paramètres!$B$12,(O25+MAX(P25+BK25,0)+MAX(Q25,0)+R25)/T25)-Paramètres!$B$11,0)*Paramètres!$C$12+MAX(MIN(Paramètres!$B$13,(O25+MAX(P25+BK25,0)+MAX(Q25,0)+R25)/T25)-Paramètres!$B$12,0)*Paramètres!$C$13)*T25</f>
        <v>33993.056503153275</v>
      </c>
      <c r="BM25" s="108">
        <f>(MAX(MIN(Paramètres!$B$9,(O25+MAX(P25+BK25,0)+MAX(Q25,0)+R25)/U25),0)*Paramètres!$C$9+MAX(MIN(Paramètres!$B$10,(O25+MAX(P25+BK25,0)+MAX(Q25,0)+R25)/U25)-Paramètres!$B$9,0)*Paramètres!$C$10+MAX(MIN(Paramètres!$B$11,(O25+MAX(P25+BK25,0)+MAX(Q25,0)+R25)/U25)-Paramètres!$B$10,0)*Paramètres!$C$11+MAX(MIN(Paramètres!$B$12,(O25+MAX(P25+BK25,0)+MAX(Q25,0)+R25)/U25)-Paramètres!$B$11,0)*Paramètres!$C$12+MAX(MIN(Paramètres!$B$13,(O25+MAX(P25+BK25,0)+MAX(Q25,0)+R25)/U25)-Paramètres!$B$12,0)*Paramètres!$C$13)*U25</f>
        <v>33993.056503153275</v>
      </c>
      <c r="BN25" s="108">
        <f>MAX(BL25,BM25-Paramètres!$E$13*(T25-U25)*2)+MAX(P25+BK25,0)*Paramètres!$E$9+MAX(Q25,0)*Paramètres!$E$9+MAX(R25*Paramètres!$E$12,Paramètres!$E$11)</f>
        <v>35138.056503153275</v>
      </c>
      <c r="BO25" s="108">
        <f>MAX(BN25-IFERROR(VLOOKUP(B25,Paramètres!$B$28:$C$39,2,FALSE),0)*MIN(MIN((Simulation!$C$7+Simulation!$C$12+Simulation!$C$8+Simulation!$C$10)/Simulation!$C$28,Paramètres!$C$26)*Simulation!$C$28,Paramètres!$C$25),0)-X25</f>
        <v>0</v>
      </c>
      <c r="BP25" s="126">
        <f t="shared" si="14"/>
        <v>0</v>
      </c>
      <c r="BQ25" s="108">
        <f t="shared" si="15"/>
        <v>0</v>
      </c>
      <c r="BR25" s="108">
        <f t="shared" si="21"/>
        <v>0</v>
      </c>
      <c r="BS25" s="108">
        <f t="shared" si="19"/>
        <v>0</v>
      </c>
      <c r="BT25" s="108">
        <f t="shared" si="16"/>
        <v>0</v>
      </c>
      <c r="BU25" s="108">
        <f>(MAX(MIN(Paramètres!$B$9,(O25+MAX(P25,0)+MAX(Q25,0)+R25+BS25)/T25),0)*Paramètres!$C$9+MAX(MIN(Paramètres!$B$10,(O25+MAX(P25,0)+MAX(Q25,0)+R25+BS25)/T25)-Paramètres!$B$9,0)*Paramètres!$C$10+MAX(MIN(Paramètres!$B$11,(O25+MAX(P25,0)+MAX(Q25,0)+R25+BS25)/T25)-Paramètres!$B$10,0)*Paramètres!$C$11+MAX(MIN(Paramètres!$B$12,(O25+MAX(P25,0)+MAX(Q25,0)+R25+BS25)/T25)-Paramètres!$B$11,0)*Paramètres!$C$12+MAX(MIN(Paramètres!$B$13,(O25+MAX(P25,0)+MAX(Q25,0)+R25+BS25)/T25)-Paramètres!$B$12,0)*Paramètres!$C$13)*T25</f>
        <v>33993.056503153275</v>
      </c>
      <c r="BV25" s="108">
        <f>(MAX(MIN(Paramètres!$B$9,(O25+MAX(P25,0)+MAX(Q25,0)+R25+BS25)/U25),0)*Paramètres!$C$9+MAX(MIN(Paramètres!$B$10,(O25+MAX(P25,0)+MAX(Q25,0)+R25+BS25)/U25)-Paramètres!$B$9,0)*Paramètres!$C$10+MAX(MIN(Paramètres!$B$11,(O25+MAX(P25,0)+MAX(Q25,0)+R25+BS25)/U25)-Paramètres!$B$10,0)*Paramètres!$C$11+MAX(MIN(Paramètres!$B$12,(O25+MAX(P25,0)+MAX(Q25,0)+R25+BS25)/U25)-Paramètres!$B$11,0)*Paramètres!$C$12+MAX(MIN(Paramètres!$B$13,(O25+MAX(P25,0)+MAX(Q25,0)+R25+BS25)/U25)-Paramètres!$B$12,0)*Paramètres!$C$13)*U25</f>
        <v>33993.056503153275</v>
      </c>
      <c r="BW25" s="108">
        <f>MAX(BU25,BV25-Paramètres!$E$13*(T25-U25)*2)+MAX(P25,0)*Paramètres!$E$9+MAX(Q25,0)*Paramètres!$E$9+MAX((R25+BS25)*Paramètres!$E$12,Paramètres!$E$11)</f>
        <v>35138.056503153275</v>
      </c>
      <c r="BX25" s="108">
        <f t="shared" si="17"/>
        <v>0</v>
      </c>
      <c r="BY25" s="149">
        <f>(C25-SUM(D25:N25)+MIN(BY24,0))*(B25&lt;=Simulation!$F$24)</f>
        <v>0</v>
      </c>
      <c r="BZ25" s="108">
        <f>(Simulation!$F$22-(Simulation!$C$13-SUM($I$8:$N$37)))*(B25=Simulation!$F$24)</f>
        <v>0</v>
      </c>
      <c r="CA25" s="108">
        <f>MAX(MIN(BY25+BZ25,Paramètres!$B$17)*Paramètres!$C$17+MAX(MIN(BY25+BZ25,Paramètres!$B$18)-Paramètres!$B$17,0)*Paramètres!$C$18+MAX(MIN(BY25+BZ25,Paramètres!$B$19)-Paramètres!$B$18,0)*Paramètres!$C$19,0)</f>
        <v>0</v>
      </c>
      <c r="CB25" s="150">
        <f>MAX(MIN(BY25,Paramètres!$B$17)*Paramètres!$C$17+MAX(MIN(BY25,Paramètres!$B$18)-Paramètres!$B$17,0)*Paramètres!$C$18+MAX(MIN(BY25,Paramètres!$B$19)-Paramètres!$B$18,0)*Paramètres!$C$19,0)</f>
        <v>0</v>
      </c>
      <c r="CC25" s="108">
        <f>(C25-SUM(D25:N25)+MIN(CC24,0))*(B25&lt;=Simulation!$F$24)</f>
        <v>0</v>
      </c>
      <c r="CD25" s="108">
        <f>(Simulation!$F$22-(Simulation!$C$13-SUM($I$8:$N$37)))*(B25=Simulation!$F$24)</f>
        <v>0</v>
      </c>
      <c r="CE25" s="108">
        <f>MAX(MIN(CC25+CD25,Paramètres!$B$17)*Paramètres!$C$17+MAX(MIN(CC25+CD25,Paramètres!$B$18)-Paramètres!$B$17,0)*Paramètres!$C$18+MAX(MIN(CC25+CD25,Paramètres!$B$19)-Paramètres!$B$18,0)*Paramètres!$C$19,0)</f>
        <v>0</v>
      </c>
      <c r="CF25" s="108">
        <f>MAX(MIN(CC25,Paramètres!$B$17)*Paramètres!$C$17+MAX(MIN(CC25,Paramètres!$B$18)-Paramètres!$B$17,0)*Paramètres!$C$18+MAX(MIN(CC25,Paramètres!$B$19)-Paramètres!$B$18,0)*Paramètres!$C$19,0)</f>
        <v>0</v>
      </c>
      <c r="CG25" s="108">
        <f>MAX(CC25+CD25-CF25,0)*(1-Paramètres!$E$17)*Paramètres!$E$18</f>
        <v>0</v>
      </c>
      <c r="CH25" s="54">
        <f>MAX(CC25-CF25,0)*(1-Paramètres!$E$17)*Paramètres!$E$18</f>
        <v>0</v>
      </c>
      <c r="CI25" s="127">
        <f ca="1">OFFSET($AC25,0,VLOOKUP(Simulation!$C$27,Simulation!$Q$5:$R$14,2,FALSE))</f>
        <v>0</v>
      </c>
      <c r="CK25" s="167"/>
      <c r="CL25" s="167"/>
      <c r="CM25" s="167"/>
      <c r="CN25" s="167"/>
      <c r="CO25" s="167"/>
      <c r="CP25" s="167"/>
      <c r="CQ25" s="167"/>
      <c r="CR25" s="167"/>
      <c r="CS25" s="167"/>
      <c r="CT25" s="167"/>
      <c r="CU25" s="167"/>
      <c r="CV25" s="167"/>
    </row>
    <row r="26" spans="2:100" x14ac:dyDescent="0.2">
      <c r="B26" s="40">
        <f t="shared" si="0"/>
        <v>19</v>
      </c>
      <c r="C26" s="143">
        <f>SUMPRODUCT('Détail trésorerie'!$H$8:$H$367*('Détail trésorerie'!$B$8:$B$367&gt;$B25*12)*('Détail trésorerie'!$B$8:$B$367&lt;=$B26*12))</f>
        <v>0</v>
      </c>
      <c r="D26" s="143">
        <f>SUMPRODUCT('Détail trésorerie'!$E$8:$E$367*('Détail trésorerie'!$B$8:$B$367&gt;$B25*12)*('Détail trésorerie'!$B$8:$B$367&lt;=$B26*12))</f>
        <v>0</v>
      </c>
      <c r="E26" s="144">
        <f>SUMPRODUCT('Détail trésorerie'!$J$8:$J$367*('Détail trésorerie'!$B$8:$B$367&gt;$B25*12)*('Détail trésorerie'!$B$8:$B$367&lt;=$B26*12))</f>
        <v>0</v>
      </c>
      <c r="F26" s="144">
        <f>SUMPRODUCT('Détail trésorerie'!$K$8:$K$367*('Détail trésorerie'!$B$8:$B$367&gt;$B25*12)*('Détail trésorerie'!$B$8:$B$367&lt;=$B26*12))</f>
        <v>0</v>
      </c>
      <c r="G26" s="144">
        <f>SUMPRODUCT('Détail trésorerie'!$L$8:$L$367*('Détail trésorerie'!$B$8:$B$367&gt;$B25*12)*('Détail trésorerie'!$B$8:$B$367&lt;=$B26*12))</f>
        <v>0</v>
      </c>
      <c r="H26" s="145">
        <f>SUMPRODUCT('Détail trésorerie'!$M$8:$M$367*('Détail trésorerie'!$B$8:$B$367&gt;$B25*12)*('Détail trésorerie'!$B$8:$B$367&lt;=$B26*12))</f>
        <v>0</v>
      </c>
      <c r="I26" s="126">
        <f>MAX(MIN(Paramètres!$E$3*Simulation!$C$7*Paramètres!$C$3,Simulation!$C$7*Paramètres!$E$3-SUM(I$8:$I25)),0)*(B26&lt;=Simulation!$F$24)</f>
        <v>0</v>
      </c>
      <c r="J26" s="108">
        <f>MAX(MIN(Paramètres!$E$4*Simulation!$C$7*Paramètres!$C$4,Simulation!$C$7*Paramètres!$E$4-SUM($J$8:J25)),0)*(B26&lt;=Simulation!$F$24)</f>
        <v>0</v>
      </c>
      <c r="K26" s="108">
        <f>MAX(MIN(Paramètres!$E$5*Simulation!$C$8*Paramètres!$C$5,Paramètres!$E$5*Simulation!$C$8-SUM($K$8:K25)),0)*(B26&lt;=Simulation!$F$24)</f>
        <v>0</v>
      </c>
      <c r="L26" s="108">
        <v>0</v>
      </c>
      <c r="M26" s="108">
        <v>0</v>
      </c>
      <c r="N26" s="108">
        <f>MAX(MIN(Paramètres!$C$6*(Simulation!$C$10+Simulation!$C$11+Simulation!$C$12),(Simulation!$C$10+Simulation!$C$11+Simulation!$C$12)-SUM(N$8:N25)),0)*(B26&lt;=Simulation!$F$24)</f>
        <v>0</v>
      </c>
      <c r="O26" s="148">
        <f>25000*8/2*(1+Emprunteur!$F$7)^$B26</f>
        <v>120810.89504435316</v>
      </c>
      <c r="P26" s="165">
        <f>0*(1+Emprunteur!$F$8)^$B26</f>
        <v>0</v>
      </c>
      <c r="Q26" s="165">
        <f>0*(1+Emprunteur!$F$9)^$B26</f>
        <v>0</v>
      </c>
      <c r="R26" s="165">
        <f>0*(1+Emprunteur!$F$10)^$B26</f>
        <v>0</v>
      </c>
      <c r="S26" s="108">
        <f t="shared" si="5"/>
        <v>120810.89504435316</v>
      </c>
      <c r="T26" s="157">
        <v>1</v>
      </c>
      <c r="U26" s="157">
        <v>1</v>
      </c>
      <c r="V26" s="108">
        <f>(MAX(MIN(Paramètres!$B$9,S26/T26),0)*Paramètres!$C$9+MAX(MIN(Paramètres!$B$10,S26/T26)-Paramètres!$B$9,0)*Paramètres!$C$10+MAX(MIN(Paramètres!$B$11,S26/T26)-Paramètres!$B$10,0)*Paramètres!$C$11+MAX(MIN(Paramètres!$B$12,S26/T26)-Paramètres!$B$11,0)*Paramètres!$C$12+MAX(MIN(Paramètres!$B$13,S26/T26)-Paramètres!$B$12,0)*Paramètres!$C$13)*T26</f>
        <v>34483.476968184797</v>
      </c>
      <c r="W26" s="108">
        <f>(MAX(MIN(Paramètres!$B$9,S26/U26),0)*Paramètres!$C$9+MAX(MIN(Paramètres!$B$10,S26/U26)-Paramètres!$B$9,0)*Paramètres!$C$10+MAX(MIN(Paramètres!$B$11,S26/U26)-Paramètres!$B$10,0)*Paramètres!$C$11+MAX(MIN(Paramètres!$B$12,S26/U26)-Paramètres!$B$11,0)*Paramètres!$C$12+MAX(MIN(Paramètres!$B$13,S26/U26)-Paramètres!$B$12,0)*Paramètres!$C$13)*U26</f>
        <v>34483.476968184797</v>
      </c>
      <c r="X26" s="108">
        <f>MAX(V26,W26-Paramètres!$E$13*(T26-U26)*2)+MAX(P26,0)*Paramètres!$E$9+MAX(Q26,0)*Paramètres!$E$9+MAX(R26*Paramètres!$E$12,Paramètres!$E$11)</f>
        <v>35628.476968184797</v>
      </c>
      <c r="Y26" s="126">
        <f>(C26-SUM(D26:N26)+MIN(Y25,0))*(B26&lt;=Simulation!$F$24)</f>
        <v>0</v>
      </c>
      <c r="Z26" s="108">
        <f>(MAX(MIN(Paramètres!$B$9,(O26+MAX(P26,0)+MAX(Q26+Y26,0)+R26)/T26),0)*Paramètres!$C$9+MAX(MIN(Paramètres!$B$10,(O26+MAX(P26,0)+MAX(Q26+Y26,0)+R26)/T26)-Paramètres!$B$9,0)*Paramètres!$C$10+MAX(MIN(Paramètres!$B$11,(O26+MAX(P26,0)+MAX(Q26+Y26,0)+R26)/T26)-Paramètres!$B$10,0)*Paramètres!$C$11+MAX(MIN(Paramètres!$B$12,(O26+MAX(P26,0)+MAX(Q26+Y26,0)+R26)/T26)-Paramètres!$B$11,0)*Paramètres!$C$12+MAX(MIN(Paramètres!$B$13,(O26+MAX(P26,0)+MAX(Q26+Y26,0)+R26)/T26)-Paramètres!$B$12,0)*Paramètres!$C$13)*T26</f>
        <v>34483.476968184797</v>
      </c>
      <c r="AA26" s="108">
        <f>(MAX(MIN(Paramètres!$B$9,(O26+MAX(P26,0)+MAX(Q26+Y26,0)+R26)/U26),0)*Paramètres!$C$9+MAX(MIN(Paramètres!$B$10,(O26+MAX(P26,0)+MAX(Q26+Y26,0)+R26)/U26)-Paramètres!$B$9,0)*Paramètres!$C$10+MAX(MIN(Paramètres!$B$11,(O26+MAX(P26,0)+MAX(Q26+Y26,0)+R26)/U26)-Paramètres!$B$10,0)*Paramètres!$C$11+MAX(MIN(Paramètres!$B$12,(O26+MAX(P26,0)+MAX(Q26+Y26,0)+R26)/U26)-Paramètres!$B$11,0)*Paramètres!$C$12+MAX(MIN(Paramètres!$B$13,(O26+MAX(P26,0)+MAX(Q26+Y26,0)+R26)/U26)-Paramètres!$B$12,0)*Paramètres!$C$13)*U26</f>
        <v>34483.476968184797</v>
      </c>
      <c r="AB26" s="108">
        <f>MAX(Z26,AA26-Paramètres!$E$13*(T26-U26)*2)+MAX(P26,0)*Paramètres!$E$9+MAX(Q26+Y26,0)*Paramètres!$E$9+MAX(R26*Paramètres!$E$12,Paramètres!$E$11)</f>
        <v>35628.476968184797</v>
      </c>
      <c r="AC26" s="108">
        <f t="shared" si="6"/>
        <v>0</v>
      </c>
      <c r="AD26" s="149">
        <f t="shared" si="1"/>
        <v>0</v>
      </c>
      <c r="AE26" s="108">
        <f>(MAX(MIN(Paramètres!$B$9,(O26+MAX(P26,0)+MAX(Q26+AD26,0)+R26)/T26),0)*Paramètres!$C$9+MAX(MIN(Paramètres!$B$10,(O26+MAX(P26,0)+MAX(Q26+AD26,0)+R26)/T26)-Paramètres!$B$9,0)*Paramètres!$C$10+MAX(MIN(Paramètres!$B$11,(O26+MAX(P26,0)+MAX(Q26+AD26,0)+R26)/T26)-Paramètres!$B$10,0)*Paramètres!$C$11+MAX(MIN(Paramètres!$B$12,(O26+MAX(P26,0)+MAX(Q26+AD26,0)+R26)/T26)-Paramètres!$B$11,0)*Paramètres!$C$12+MAX(MIN(Paramètres!$B$13,(O26+MAX(P26,0)+MAX(Q26+AD26,0)+R26)/T26)-Paramètres!$B$12,0)*Paramètres!$C$13)*T26</f>
        <v>34483.476968184797</v>
      </c>
      <c r="AF26" s="108">
        <f>(MAX(MIN(Paramètres!$B$9,(O26+MAX(P26,0)+MAX(Q26+AD26,0)+R26)/U26),0)*Paramètres!$C$9+MAX(MIN(Paramètres!$B$10,(O26+MAX(P26,0)+MAX(Q26+AD26,0)+R26)/U26)-Paramètres!$B$9,0)*Paramètres!$C$10+MAX(MIN(Paramètres!$B$11,(O26+MAX(P26,0)+MAX(Q26+AD26,0)+R26)/U26)-Paramètres!$B$10,0)*Paramètres!$C$11+MAX(MIN(Paramètres!$B$12,(O26+MAX(P26,0)+MAX(Q26+AD26,0)+R26)/U26)-Paramètres!$B$11,0)*Paramètres!$C$12+MAX(MIN(Paramètres!$B$13,(O26+MAX(P26,0)+MAX(Q26+AD26,0)+R26)/U26)-Paramètres!$B$12,0)*Paramètres!$C$13)*U26</f>
        <v>34483.476968184797</v>
      </c>
      <c r="AG26" s="108">
        <f>MAX(AE26,AF26-Paramètres!$E$13*(T26-U26)*2)+MAX(P26,0)*Paramètres!$E$9+MAX(Q26+AD26,0)*Paramètres!$E$9+MAX(R26*Paramètres!$E$12,Paramètres!$E$11)</f>
        <v>35628.476968184797</v>
      </c>
      <c r="AH26" s="150">
        <f t="shared" si="7"/>
        <v>0</v>
      </c>
      <c r="AI26" s="149">
        <f t="shared" si="8"/>
        <v>0</v>
      </c>
      <c r="AJ26" s="108">
        <f>(MAX(MIN(Paramètres!$B$9,(O26+MAX(P26,0)+MAX(Q26+AI26,0)+R26)/T26),0)*Paramètres!$C$9+MAX(MIN(Paramètres!$B$10,(O26+MAX(P26,0)+MAX(Q26+AI26,0)+R26)/T26)-Paramètres!$B$9,0)*Paramètres!$C$10+MAX(MIN(Paramètres!$B$11,(O26+MAX(P26,0)+MAX(Q26+AI26,0)+R26)/T26)-Paramètres!$B$10,0)*Paramètres!$C$11+MAX(MIN(Paramètres!$B$12,(O26+MAX(P26,0)+MAX(Q26+AI26,0)+R26)/T26)-Paramètres!$B$11,0)*Paramètres!$C$12+MAX(MIN(Paramètres!$B$13,(O26+MAX(P26,0)+MAX(Q26+AI26,0)+R26)/T26)-Paramètres!$B$12,0)*Paramètres!$C$13)*T26</f>
        <v>34483.476968184797</v>
      </c>
      <c r="AK26" s="108">
        <f>(MAX(MIN(Paramètres!$B$9,(O26+MAX(P26,0)+MAX(Q26+AI26,0)+R26)/U26),0)*Paramètres!$C$9+MAX(MIN(Paramètres!$B$10,(O26+MAX(P26,0)+MAX(Q26+AI26,0)+R26)/U26)-Paramètres!$B$9,0)*Paramètres!$C$10+MAX(MIN(Paramètres!$B$11,(O26+MAX(P26,0)+MAX(Q26+AI26,0)+R26)/U26)-Paramètres!$B$10,0)*Paramètres!$C$11+MAX(MIN(Paramètres!$B$12,(O26+MAX(P26,0)+MAX(Q26+AI26,0)+R26)/U26)-Paramètres!$B$11,0)*Paramètres!$C$12+MAX(MIN(Paramètres!$B$13,(O26+MAX(P26,0)+MAX(Q26+AI26,0)+R26)/U26)-Paramètres!$B$12,0)*Paramètres!$C$13)*U26</f>
        <v>34483.476968184797</v>
      </c>
      <c r="AL26" s="108">
        <f>MAX(AJ26,AK26-Paramètres!$E$13*(T26-U26)*2)+MAX(P26,0)*Paramètres!$E$9+MAX(Q26+AI26,0)*Paramètres!$E$9+MAX(R26*Paramètres!$E$12,Paramètres!$E$11)</f>
        <v>35628.476968184797</v>
      </c>
      <c r="AM26" s="150">
        <f>MAX(AL26-11%/9*Simulation!$C$7*(B26&lt;=9),0)-X26</f>
        <v>0</v>
      </c>
      <c r="AN26" s="149">
        <f>MAX(MAX(C26-D26,0)-SUM(E26:H26),-MIN(SUM(O26:R26),Paramètres!$E$19+MAX(P26,0)))</f>
        <v>0</v>
      </c>
      <c r="AO26" s="108">
        <f t="shared" si="18"/>
        <v>0</v>
      </c>
      <c r="AP26" s="108">
        <f t="shared" si="22"/>
        <v>-1.8189894035458565E-12</v>
      </c>
      <c r="AQ26" s="108">
        <f t="shared" si="9"/>
        <v>0</v>
      </c>
      <c r="AR26" s="108">
        <f t="shared" si="10"/>
        <v>0</v>
      </c>
      <c r="AS26" s="108">
        <f>(MAX(MIN(Paramètres!$B$9,(O26+P26+AQ26+MAX(Q26,0)+R26)/T26),0)*Paramètres!$C$9+MAX(MIN(Paramètres!$B$10,(O26+P26+AQ26+MAX(Q26,0)+R26)/T26)-Paramètres!$B$9,0)*Paramètres!$C$10+MAX(MIN(Paramètres!$B$11,(O26+P26+AQ26+MAX(Q26,0)+R26)/T26)-Paramètres!$B$10,0)*Paramètres!$C$11+MAX(MIN(Paramètres!$B$12,(O26+P26+AQ26+MAX(Q26,0)+R26)/T26)-Paramètres!$B$11,0)*Paramètres!$C$12+MAX(MIN(Paramètres!$B$13,(O26+P26+AQ26+MAX(Q26,0)+R26)/T26)-Paramètres!$B$12,0)*Paramètres!$C$13)*T26</f>
        <v>34483.476968184797</v>
      </c>
      <c r="AT26" s="108">
        <f>(MAX(MIN(Paramètres!$B$9,(O26+P26+AQ26+MAX(Q26,0)+R26)/U26),0)*Paramètres!$C$9+MAX(MIN(Paramètres!$B$10,(O26+P26+AQ26+MAX(Q26,0)+R26)/U26)-Paramètres!$B$9,0)*Paramètres!$C$10+MAX(MIN(Paramètres!$B$11,(O26+P26+AQ26+MAX(Q26,0)+R26)/U26)-Paramètres!$B$10,0)*Paramètres!$C$11+MAX(MIN(Paramètres!$B$12,(O26+P26+AQ26+MAX(Q26,0)+R26)/U26)-Paramètres!$B$11,0)*Paramètres!$C$12+MAX(MIN(Paramètres!$B$13,(O26+P26+AQ26+MAX(Q26,0)+R26)/U26)-Paramètres!$B$12,0)*Paramètres!$C$13)*U26</f>
        <v>34483.476968184797</v>
      </c>
      <c r="AU26" s="108">
        <f>MAX(AS26,AT26-Paramètres!$E$13*(T26-U26)*2)+MAX(P26+AQ26,0)*Paramètres!$E$9+MAX(Q26,0)*Paramètres!$E$9+MAX(R26*Paramètres!$E$12,Paramètres!$E$11)</f>
        <v>35628.476968184797</v>
      </c>
      <c r="AV26" s="150">
        <f t="shared" si="2"/>
        <v>0</v>
      </c>
      <c r="AW26" s="108">
        <f t="shared" si="3"/>
        <v>0</v>
      </c>
      <c r="AX26" s="108">
        <f>(MAX(MIN(Paramètres!$B$9,(O26+MAX(P26+AW26,0)+MAX(Q26,0)+R26)/T26),0)*Paramètres!$C$9+MAX(MIN(Paramètres!$B$10,(O26+MAX(P26+AW26,0)+MAX(Q26,0)+R26)/T26)-Paramètres!$B$9,0)*Paramètres!$C$10+MAX(MIN(Paramètres!$B$11,(O26+MAX(P26+AW26,0)+MAX(Q26,0)+R26)/T26)-Paramètres!$B$10,0)*Paramètres!$C$11+MAX(MIN(Paramètres!$B$12,(O26+MAX(P26+AW26,0)+MAX(Q26,0)+R26)/T26)-Paramètres!$B$11,0)*Paramètres!$C$12+MAX(MIN(Paramètres!$B$13,(O26+MAX(P26+AW26,0)+MAX(Q26,0)+R26)/T26)-Paramètres!$B$12,0)*Paramètres!$C$13)*T26</f>
        <v>34483.476968184797</v>
      </c>
      <c r="AY26" s="108">
        <f>(MAX(MIN(Paramètres!$B$9,(O26+MAX(P26+AW26,0)+MAX(Q26,0)+R26)/U26),0)*Paramètres!$C$9+MAX(MIN(Paramètres!$B$10,(O26+MAX(P26+AW26,0)+MAX(Q26,0)+R26)/U26)-Paramètres!$B$9,0)*Paramètres!$C$10+MAX(MIN(Paramètres!$B$11,(O26+MAX(P26+AW26,0)+MAX(Q26,0)+R26)/U26)-Paramètres!$B$10,0)*Paramètres!$C$11+MAX(MIN(Paramètres!$B$12,(O26+MAX(P26+AW26,0)+MAX(Q26,0)+R26)/U26)-Paramètres!$B$11,0)*Paramètres!$C$12+MAX(MIN(Paramètres!$B$13,(O26+MAX(P26+AW26,0)+MAX(Q26,0)+R26)/U26)-Paramètres!$B$12,0)*Paramètres!$C$13)*U26</f>
        <v>34483.476968184797</v>
      </c>
      <c r="AZ26" s="108">
        <f>MAX(AX26,AY26-Paramètres!$E$13*(T26-U26)*2)+MAX(P26+AW26,0)*Paramètres!$E$9+MAX(Q26,0)*Paramètres!$E$9+MAX(R26*Paramètres!$E$12,Paramètres!$E$11)</f>
        <v>35628.476968184797</v>
      </c>
      <c r="BA26" s="108">
        <f t="shared" si="4"/>
        <v>0</v>
      </c>
      <c r="BB26" s="149">
        <f>MAX(MAX(C26-D26,0)-SUM(E26:H26),-MIN(SUM(O26:R26),Paramètres!$E$19+MAX(P26,0)))</f>
        <v>0</v>
      </c>
      <c r="BC26" s="108">
        <f t="shared" si="20"/>
        <v>0</v>
      </c>
      <c r="BD26" s="108">
        <f t="shared" si="23"/>
        <v>-1.8189894035458565E-12</v>
      </c>
      <c r="BE26" s="108">
        <f t="shared" si="11"/>
        <v>0</v>
      </c>
      <c r="BF26" s="108">
        <f t="shared" si="12"/>
        <v>0</v>
      </c>
      <c r="BG26" s="108">
        <f>(MAX(MIN(Paramètres!$B$9,(O26+P26+BE26+MAX(Q26,0)+R26)/T26),0)*Paramètres!$C$9+MAX(MIN(Paramètres!$B$10,(O26+P26+BE26+MAX(Q26,0)+R26)/T26)-Paramètres!$B$9,0)*Paramètres!$C$10+MAX(MIN(Paramètres!$B$11,(O26+P26+BE26+MAX(Q26,0)+R26)/T26)-Paramètres!$B$10,0)*Paramètres!$C$11+MAX(MIN(Paramètres!$B$12,(O26+P26+BE26+MAX(Q26,0)+R26)/T26)-Paramètres!$B$11,0)*Paramètres!$C$12+MAX(MIN(Paramètres!$B$13,(O26+P26+BE26+MAX(Q26,0)+R26)/T26)-Paramètres!$B$12,0)*Paramètres!$C$13)*T26</f>
        <v>34483.476968184797</v>
      </c>
      <c r="BH26" s="108">
        <f>(MAX(MIN(Paramètres!$B$9,(O26+P26+BE26+MAX(Q26,0)+R26)/U26),0)*Paramètres!$C$9+MAX(MIN(Paramètres!$B$10,(O26+P26+BE26+MAX(Q26,0)+R26)/U26)-Paramètres!$B$9,0)*Paramètres!$C$10+MAX(MIN(Paramètres!$B$11,(O26+P26+BE26+MAX(Q26,0)+R26)/U26)-Paramètres!$B$10,0)*Paramètres!$C$11+MAX(MIN(Paramètres!$B$12,(O26+P26+BE26+MAX(Q26,0)+R26)/U26)-Paramètres!$B$11,0)*Paramètres!$C$12+MAX(MIN(Paramètres!$B$13,(O26+P26+BE26+MAX(Q26,0)+R26)/U26)-Paramètres!$B$12,0)*Paramètres!$C$13)*U26</f>
        <v>34483.476968184797</v>
      </c>
      <c r="BI26" s="108">
        <f>MAX(BG26,BH26-Paramètres!$E$13*(T26-U26)*2)+MAX(P26+BE26,0)*Paramètres!$E$9+MAX(Q26,0)*Paramètres!$E$9+MAX(R26*Paramètres!$E$12,Paramètres!$E$11)</f>
        <v>35628.476968184797</v>
      </c>
      <c r="BJ26" s="150">
        <f>MAX(BI26-IFERROR(VLOOKUP(B26,Paramètres!$B$28:$C$39,2,FALSE),0)*MIN(MIN((Simulation!$C$7+Simulation!$C$12+Simulation!$C$8+Simulation!$C$10)/Simulation!$C$28,Paramètres!$C$26)*Simulation!$C$28,Paramètres!$C$25),0)-X26</f>
        <v>0</v>
      </c>
      <c r="BK26" s="108">
        <f t="shared" si="13"/>
        <v>0</v>
      </c>
      <c r="BL26" s="108">
        <f>(MAX(MIN(Paramètres!$B$9,(O26+MAX(P26+BK26,0)+MAX(Q26,0)+R26)/T26),0)*Paramètres!$C$9+MAX(MIN(Paramètres!$B$10,(O26+MAX(P26+BK26,0)+MAX(Q26,0)+R26)/T26)-Paramètres!$B$9,0)*Paramètres!$C$10+MAX(MIN(Paramètres!$B$11,(O26+MAX(P26+BK26,0)+MAX(Q26,0)+R26)/T26)-Paramètres!$B$10,0)*Paramètres!$C$11+MAX(MIN(Paramètres!$B$12,(O26+MAX(P26+BK26,0)+MAX(Q26,0)+R26)/T26)-Paramètres!$B$11,0)*Paramètres!$C$12+MAX(MIN(Paramètres!$B$13,(O26+MAX(P26+BK26,0)+MAX(Q26,0)+R26)/T26)-Paramètres!$B$12,0)*Paramètres!$C$13)*T26</f>
        <v>34483.476968184797</v>
      </c>
      <c r="BM26" s="108">
        <f>(MAX(MIN(Paramètres!$B$9,(O26+MAX(P26+BK26,0)+MAX(Q26,0)+R26)/U26),0)*Paramètres!$C$9+MAX(MIN(Paramètres!$B$10,(O26+MAX(P26+BK26,0)+MAX(Q26,0)+R26)/U26)-Paramètres!$B$9,0)*Paramètres!$C$10+MAX(MIN(Paramètres!$B$11,(O26+MAX(P26+BK26,0)+MAX(Q26,0)+R26)/U26)-Paramètres!$B$10,0)*Paramètres!$C$11+MAX(MIN(Paramètres!$B$12,(O26+MAX(P26+BK26,0)+MAX(Q26,0)+R26)/U26)-Paramètres!$B$11,0)*Paramètres!$C$12+MAX(MIN(Paramètres!$B$13,(O26+MAX(P26+BK26,0)+MAX(Q26,0)+R26)/U26)-Paramètres!$B$12,0)*Paramètres!$C$13)*U26</f>
        <v>34483.476968184797</v>
      </c>
      <c r="BN26" s="108">
        <f>MAX(BL26,BM26-Paramètres!$E$13*(T26-U26)*2)+MAX(P26+BK26,0)*Paramètres!$E$9+MAX(Q26,0)*Paramètres!$E$9+MAX(R26*Paramètres!$E$12,Paramètres!$E$11)</f>
        <v>35628.476968184797</v>
      </c>
      <c r="BO26" s="108">
        <f>MAX(BN26-IFERROR(VLOOKUP(B26,Paramètres!$B$28:$C$39,2,FALSE),0)*MIN(MIN((Simulation!$C$7+Simulation!$C$12+Simulation!$C$8+Simulation!$C$10)/Simulation!$C$28,Paramètres!$C$26)*Simulation!$C$28,Paramètres!$C$25),0)-X26</f>
        <v>0</v>
      </c>
      <c r="BP26" s="126">
        <f t="shared" si="14"/>
        <v>0</v>
      </c>
      <c r="BQ26" s="108">
        <f t="shared" si="15"/>
        <v>0</v>
      </c>
      <c r="BR26" s="108">
        <f t="shared" si="21"/>
        <v>0</v>
      </c>
      <c r="BS26" s="108">
        <f t="shared" si="19"/>
        <v>0</v>
      </c>
      <c r="BT26" s="108">
        <f t="shared" si="16"/>
        <v>0</v>
      </c>
      <c r="BU26" s="108">
        <f>(MAX(MIN(Paramètres!$B$9,(O26+MAX(P26,0)+MAX(Q26,0)+R26+BS26)/T26),0)*Paramètres!$C$9+MAX(MIN(Paramètres!$B$10,(O26+MAX(P26,0)+MAX(Q26,0)+R26+BS26)/T26)-Paramètres!$B$9,0)*Paramètres!$C$10+MAX(MIN(Paramètres!$B$11,(O26+MAX(P26,0)+MAX(Q26,0)+R26+BS26)/T26)-Paramètres!$B$10,0)*Paramètres!$C$11+MAX(MIN(Paramètres!$B$12,(O26+MAX(P26,0)+MAX(Q26,0)+R26+BS26)/T26)-Paramètres!$B$11,0)*Paramètres!$C$12+MAX(MIN(Paramètres!$B$13,(O26+MAX(P26,0)+MAX(Q26,0)+R26+BS26)/T26)-Paramètres!$B$12,0)*Paramètres!$C$13)*T26</f>
        <v>34483.476968184797</v>
      </c>
      <c r="BV26" s="108">
        <f>(MAX(MIN(Paramètres!$B$9,(O26+MAX(P26,0)+MAX(Q26,0)+R26+BS26)/U26),0)*Paramètres!$C$9+MAX(MIN(Paramètres!$B$10,(O26+MAX(P26,0)+MAX(Q26,0)+R26+BS26)/U26)-Paramètres!$B$9,0)*Paramètres!$C$10+MAX(MIN(Paramètres!$B$11,(O26+MAX(P26,0)+MAX(Q26,0)+R26+BS26)/U26)-Paramètres!$B$10,0)*Paramètres!$C$11+MAX(MIN(Paramètres!$B$12,(O26+MAX(P26,0)+MAX(Q26,0)+R26+BS26)/U26)-Paramètres!$B$11,0)*Paramètres!$C$12+MAX(MIN(Paramètres!$B$13,(O26+MAX(P26,0)+MAX(Q26,0)+R26+BS26)/U26)-Paramètres!$B$12,0)*Paramètres!$C$13)*U26</f>
        <v>34483.476968184797</v>
      </c>
      <c r="BW26" s="108">
        <f>MAX(BU26,BV26-Paramètres!$E$13*(T26-U26)*2)+MAX(P26,0)*Paramètres!$E$9+MAX(Q26,0)*Paramètres!$E$9+MAX((R26+BS26)*Paramètres!$E$12,Paramètres!$E$11)</f>
        <v>35628.476968184797</v>
      </c>
      <c r="BX26" s="108">
        <f t="shared" si="17"/>
        <v>0</v>
      </c>
      <c r="BY26" s="149">
        <f>(C26-SUM(D26:N26)+MIN(BY25,0))*(B26&lt;=Simulation!$F$24)</f>
        <v>0</v>
      </c>
      <c r="BZ26" s="108">
        <f>(Simulation!$F$22-(Simulation!$C$13-SUM($I$8:$N$37)))*(B26=Simulation!$F$24)</f>
        <v>0</v>
      </c>
      <c r="CA26" s="108">
        <f>MAX(MIN(BY26+BZ26,Paramètres!$B$17)*Paramètres!$C$17+MAX(MIN(BY26+BZ26,Paramètres!$B$18)-Paramètres!$B$17,0)*Paramètres!$C$18+MAX(MIN(BY26+BZ26,Paramètres!$B$19)-Paramètres!$B$18,0)*Paramètres!$C$19,0)</f>
        <v>0</v>
      </c>
      <c r="CB26" s="150">
        <f>MAX(MIN(BY26,Paramètres!$B$17)*Paramètres!$C$17+MAX(MIN(BY26,Paramètres!$B$18)-Paramètres!$B$17,0)*Paramètres!$C$18+MAX(MIN(BY26,Paramètres!$B$19)-Paramètres!$B$18,0)*Paramètres!$C$19,0)</f>
        <v>0</v>
      </c>
      <c r="CC26" s="108">
        <f>(C26-SUM(D26:N26)+MIN(CC25,0))*(B26&lt;=Simulation!$F$24)</f>
        <v>0</v>
      </c>
      <c r="CD26" s="108">
        <f>(Simulation!$F$22-(Simulation!$C$13-SUM($I$8:$N$37)))*(B26=Simulation!$F$24)</f>
        <v>0</v>
      </c>
      <c r="CE26" s="108">
        <f>MAX(MIN(CC26+CD26,Paramètres!$B$17)*Paramètres!$C$17+MAX(MIN(CC26+CD26,Paramètres!$B$18)-Paramètres!$B$17,0)*Paramètres!$C$18+MAX(MIN(CC26+CD26,Paramètres!$B$19)-Paramètres!$B$18,0)*Paramètres!$C$19,0)</f>
        <v>0</v>
      </c>
      <c r="CF26" s="108">
        <f>MAX(MIN(CC26,Paramètres!$B$17)*Paramètres!$C$17+MAX(MIN(CC26,Paramètres!$B$18)-Paramètres!$B$17,0)*Paramètres!$C$18+MAX(MIN(CC26,Paramètres!$B$19)-Paramètres!$B$18,0)*Paramètres!$C$19,0)</f>
        <v>0</v>
      </c>
      <c r="CG26" s="108">
        <f>MAX(CC26+CD26-CF26,0)*(1-Paramètres!$E$17)*Paramètres!$E$18</f>
        <v>0</v>
      </c>
      <c r="CH26" s="54">
        <f>MAX(CC26-CF26,0)*(1-Paramètres!$E$17)*Paramètres!$E$18</f>
        <v>0</v>
      </c>
      <c r="CI26" s="127">
        <f ca="1">OFFSET($AC26,0,VLOOKUP(Simulation!$C$27,Simulation!$Q$5:$R$14,2,FALSE))</f>
        <v>0</v>
      </c>
      <c r="CK26" s="167"/>
      <c r="CL26" s="167"/>
      <c r="CM26" s="167"/>
      <c r="CN26" s="167"/>
      <c r="CO26" s="167"/>
      <c r="CP26" s="167"/>
      <c r="CQ26" s="167"/>
      <c r="CR26" s="167"/>
      <c r="CS26" s="167"/>
      <c r="CT26" s="167"/>
      <c r="CU26" s="167"/>
      <c r="CV26" s="167"/>
    </row>
    <row r="27" spans="2:100" x14ac:dyDescent="0.2">
      <c r="B27" s="40">
        <f t="shared" si="0"/>
        <v>20</v>
      </c>
      <c r="C27" s="143">
        <f>SUMPRODUCT('Détail trésorerie'!$H$8:$H$367*('Détail trésorerie'!$B$8:$B$367&gt;$B26*12)*('Détail trésorerie'!$B$8:$B$367&lt;=$B27*12))</f>
        <v>0</v>
      </c>
      <c r="D27" s="143">
        <f>SUMPRODUCT('Détail trésorerie'!$E$8:$E$367*('Détail trésorerie'!$B$8:$B$367&gt;$B26*12)*('Détail trésorerie'!$B$8:$B$367&lt;=$B27*12))</f>
        <v>0</v>
      </c>
      <c r="E27" s="144">
        <f>SUMPRODUCT('Détail trésorerie'!$J$8:$J$367*('Détail trésorerie'!$B$8:$B$367&gt;$B26*12)*('Détail trésorerie'!$B$8:$B$367&lt;=$B27*12))</f>
        <v>0</v>
      </c>
      <c r="F27" s="144">
        <f>SUMPRODUCT('Détail trésorerie'!$K$8:$K$367*('Détail trésorerie'!$B$8:$B$367&gt;$B26*12)*('Détail trésorerie'!$B$8:$B$367&lt;=$B27*12))</f>
        <v>0</v>
      </c>
      <c r="G27" s="144">
        <f>SUMPRODUCT('Détail trésorerie'!$L$8:$L$367*('Détail trésorerie'!$B$8:$B$367&gt;$B26*12)*('Détail trésorerie'!$B$8:$B$367&lt;=$B27*12))</f>
        <v>0</v>
      </c>
      <c r="H27" s="145">
        <f>SUMPRODUCT('Détail trésorerie'!$M$8:$M$367*('Détail trésorerie'!$B$8:$B$367&gt;$B26*12)*('Détail trésorerie'!$B$8:$B$367&lt;=$B27*12))</f>
        <v>0</v>
      </c>
      <c r="I27" s="126">
        <f>MAX(MIN(Paramètres!$E$3*Simulation!$C$7*Paramètres!$C$3,Simulation!$C$7*Paramètres!$E$3-SUM(I$8:$I26)),0)*(B27&lt;=Simulation!$F$24)</f>
        <v>0</v>
      </c>
      <c r="J27" s="108">
        <f>MAX(MIN(Paramètres!$E$4*Simulation!$C$7*Paramètres!$C$4,Simulation!$C$7*Paramètres!$E$4-SUM($J$8:J26)),0)*(B27&lt;=Simulation!$F$24)</f>
        <v>0</v>
      </c>
      <c r="K27" s="108">
        <f>MAX(MIN(Paramètres!$E$5*Simulation!$C$8*Paramètres!$C$5,Paramètres!$E$5*Simulation!$C$8-SUM($K$8:K26)),0)*(B27&lt;=Simulation!$F$24)</f>
        <v>0</v>
      </c>
      <c r="L27" s="108">
        <v>0</v>
      </c>
      <c r="M27" s="108">
        <v>0</v>
      </c>
      <c r="N27" s="108">
        <f>MAX(MIN(Paramètres!$C$6*(Simulation!$C$10+Simulation!$C$11+Simulation!$C$12),(Simulation!$C$10+Simulation!$C$11+Simulation!$C$12)-SUM(N$8:N26)),0)*(B27&lt;=Simulation!$F$24)</f>
        <v>0</v>
      </c>
      <c r="O27" s="148">
        <f>25000*8/2*(1+Emprunteur!$F$7)^$B27</f>
        <v>122019.0039947967</v>
      </c>
      <c r="P27" s="165">
        <f>0*(1+Emprunteur!$F$8)^$B27</f>
        <v>0</v>
      </c>
      <c r="Q27" s="165">
        <f>0*(1+Emprunteur!$F$9)^$B27</f>
        <v>0</v>
      </c>
      <c r="R27" s="165">
        <f>0*(1+Emprunteur!$F$10)^$B27</f>
        <v>0</v>
      </c>
      <c r="S27" s="108">
        <f t="shared" si="5"/>
        <v>122019.0039947967</v>
      </c>
      <c r="T27" s="157">
        <v>1</v>
      </c>
      <c r="U27" s="157">
        <v>1</v>
      </c>
      <c r="V27" s="108">
        <f>(MAX(MIN(Paramètres!$B$9,S27/T27),0)*Paramètres!$C$9+MAX(MIN(Paramètres!$B$10,S27/T27)-Paramètres!$B$9,0)*Paramètres!$C$10+MAX(MIN(Paramètres!$B$11,S27/T27)-Paramètres!$B$10,0)*Paramètres!$C$11+MAX(MIN(Paramètres!$B$12,S27/T27)-Paramètres!$B$11,0)*Paramètres!$C$12+MAX(MIN(Paramètres!$B$13,S27/T27)-Paramètres!$B$12,0)*Paramètres!$C$13)*T27</f>
        <v>34978.801637866651</v>
      </c>
      <c r="W27" s="108">
        <f>(MAX(MIN(Paramètres!$B$9,S27/U27),0)*Paramètres!$C$9+MAX(MIN(Paramètres!$B$10,S27/U27)-Paramètres!$B$9,0)*Paramètres!$C$10+MAX(MIN(Paramètres!$B$11,S27/U27)-Paramètres!$B$10,0)*Paramètres!$C$11+MAX(MIN(Paramètres!$B$12,S27/U27)-Paramètres!$B$11,0)*Paramètres!$C$12+MAX(MIN(Paramètres!$B$13,S27/U27)-Paramètres!$B$12,0)*Paramètres!$C$13)*U27</f>
        <v>34978.801637866651</v>
      </c>
      <c r="X27" s="108">
        <f>MAX(V27,W27-Paramètres!$E$13*(T27-U27)*2)+MAX(P27,0)*Paramètres!$E$9+MAX(Q27,0)*Paramètres!$E$9+MAX(R27*Paramètres!$E$12,Paramètres!$E$11)</f>
        <v>36123.801637866651</v>
      </c>
      <c r="Y27" s="126">
        <f>(C27-SUM(D27:N27)+MIN(Y26,0))*(B27&lt;=Simulation!$F$24)</f>
        <v>0</v>
      </c>
      <c r="Z27" s="108">
        <f>(MAX(MIN(Paramètres!$B$9,(O27+MAX(P27,0)+MAX(Q27+Y27,0)+R27)/T27),0)*Paramètres!$C$9+MAX(MIN(Paramètres!$B$10,(O27+MAX(P27,0)+MAX(Q27+Y27,0)+R27)/T27)-Paramètres!$B$9,0)*Paramètres!$C$10+MAX(MIN(Paramètres!$B$11,(O27+MAX(P27,0)+MAX(Q27+Y27,0)+R27)/T27)-Paramètres!$B$10,0)*Paramètres!$C$11+MAX(MIN(Paramètres!$B$12,(O27+MAX(P27,0)+MAX(Q27+Y27,0)+R27)/T27)-Paramètres!$B$11,0)*Paramètres!$C$12+MAX(MIN(Paramètres!$B$13,(O27+MAX(P27,0)+MAX(Q27+Y27,0)+R27)/T27)-Paramètres!$B$12,0)*Paramètres!$C$13)*T27</f>
        <v>34978.801637866651</v>
      </c>
      <c r="AA27" s="108">
        <f>(MAX(MIN(Paramètres!$B$9,(O27+MAX(P27,0)+MAX(Q27+Y27,0)+R27)/U27),0)*Paramètres!$C$9+MAX(MIN(Paramètres!$B$10,(O27+MAX(P27,0)+MAX(Q27+Y27,0)+R27)/U27)-Paramètres!$B$9,0)*Paramètres!$C$10+MAX(MIN(Paramètres!$B$11,(O27+MAX(P27,0)+MAX(Q27+Y27,0)+R27)/U27)-Paramètres!$B$10,0)*Paramètres!$C$11+MAX(MIN(Paramètres!$B$12,(O27+MAX(P27,0)+MAX(Q27+Y27,0)+R27)/U27)-Paramètres!$B$11,0)*Paramètres!$C$12+MAX(MIN(Paramètres!$B$13,(O27+MAX(P27,0)+MAX(Q27+Y27,0)+R27)/U27)-Paramètres!$B$12,0)*Paramètres!$C$13)*U27</f>
        <v>34978.801637866651</v>
      </c>
      <c r="AB27" s="108">
        <f>MAX(Z27,AA27-Paramètres!$E$13*(T27-U27)*2)+MAX(P27,0)*Paramètres!$E$9+MAX(Q27+Y27,0)*Paramètres!$E$9+MAX(R27*Paramètres!$E$12,Paramètres!$E$11)</f>
        <v>36123.801637866651</v>
      </c>
      <c r="AC27" s="108">
        <f t="shared" si="6"/>
        <v>0</v>
      </c>
      <c r="AD27" s="149">
        <f t="shared" si="1"/>
        <v>0</v>
      </c>
      <c r="AE27" s="108">
        <f>(MAX(MIN(Paramètres!$B$9,(O27+MAX(P27,0)+MAX(Q27+AD27,0)+R27)/T27),0)*Paramètres!$C$9+MAX(MIN(Paramètres!$B$10,(O27+MAX(P27,0)+MAX(Q27+AD27,0)+R27)/T27)-Paramètres!$B$9,0)*Paramètres!$C$10+MAX(MIN(Paramètres!$B$11,(O27+MAX(P27,0)+MAX(Q27+AD27,0)+R27)/T27)-Paramètres!$B$10,0)*Paramètres!$C$11+MAX(MIN(Paramètres!$B$12,(O27+MAX(P27,0)+MAX(Q27+AD27,0)+R27)/T27)-Paramètres!$B$11,0)*Paramètres!$C$12+MAX(MIN(Paramètres!$B$13,(O27+MAX(P27,0)+MAX(Q27+AD27,0)+R27)/T27)-Paramètres!$B$12,0)*Paramètres!$C$13)*T27</f>
        <v>34978.801637866651</v>
      </c>
      <c r="AF27" s="108">
        <f>(MAX(MIN(Paramètres!$B$9,(O27+MAX(P27,0)+MAX(Q27+AD27,0)+R27)/U27),0)*Paramètres!$C$9+MAX(MIN(Paramètres!$B$10,(O27+MAX(P27,0)+MAX(Q27+AD27,0)+R27)/U27)-Paramètres!$B$9,0)*Paramètres!$C$10+MAX(MIN(Paramètres!$B$11,(O27+MAX(P27,0)+MAX(Q27+AD27,0)+R27)/U27)-Paramètres!$B$10,0)*Paramètres!$C$11+MAX(MIN(Paramètres!$B$12,(O27+MAX(P27,0)+MAX(Q27+AD27,0)+R27)/U27)-Paramètres!$B$11,0)*Paramètres!$C$12+MAX(MIN(Paramètres!$B$13,(O27+MAX(P27,0)+MAX(Q27+AD27,0)+R27)/U27)-Paramètres!$B$12,0)*Paramètres!$C$13)*U27</f>
        <v>34978.801637866651</v>
      </c>
      <c r="AG27" s="108">
        <f>MAX(AE27,AF27-Paramètres!$E$13*(T27-U27)*2)+MAX(P27,0)*Paramètres!$E$9+MAX(Q27+AD27,0)*Paramètres!$E$9+MAX(R27*Paramètres!$E$12,Paramètres!$E$11)</f>
        <v>36123.801637866651</v>
      </c>
      <c r="AH27" s="150">
        <f t="shared" si="7"/>
        <v>0</v>
      </c>
      <c r="AI27" s="149">
        <f t="shared" si="8"/>
        <v>0</v>
      </c>
      <c r="AJ27" s="108">
        <f>(MAX(MIN(Paramètres!$B$9,(O27+MAX(P27,0)+MAX(Q27+AI27,0)+R27)/T27),0)*Paramètres!$C$9+MAX(MIN(Paramètres!$B$10,(O27+MAX(P27,0)+MAX(Q27+AI27,0)+R27)/T27)-Paramètres!$B$9,0)*Paramètres!$C$10+MAX(MIN(Paramètres!$B$11,(O27+MAX(P27,0)+MAX(Q27+AI27,0)+R27)/T27)-Paramètres!$B$10,0)*Paramètres!$C$11+MAX(MIN(Paramètres!$B$12,(O27+MAX(P27,0)+MAX(Q27+AI27,0)+R27)/T27)-Paramètres!$B$11,0)*Paramètres!$C$12+MAX(MIN(Paramètres!$B$13,(O27+MAX(P27,0)+MAX(Q27+AI27,0)+R27)/T27)-Paramètres!$B$12,0)*Paramètres!$C$13)*T27</f>
        <v>34978.801637866651</v>
      </c>
      <c r="AK27" s="108">
        <f>(MAX(MIN(Paramètres!$B$9,(O27+MAX(P27,0)+MAX(Q27+AI27,0)+R27)/U27),0)*Paramètres!$C$9+MAX(MIN(Paramètres!$B$10,(O27+MAX(P27,0)+MAX(Q27+AI27,0)+R27)/U27)-Paramètres!$B$9,0)*Paramètres!$C$10+MAX(MIN(Paramètres!$B$11,(O27+MAX(P27,0)+MAX(Q27+AI27,0)+R27)/U27)-Paramètres!$B$10,0)*Paramètres!$C$11+MAX(MIN(Paramètres!$B$12,(O27+MAX(P27,0)+MAX(Q27+AI27,0)+R27)/U27)-Paramètres!$B$11,0)*Paramètres!$C$12+MAX(MIN(Paramètres!$B$13,(O27+MAX(P27,0)+MAX(Q27+AI27,0)+R27)/U27)-Paramètres!$B$12,0)*Paramètres!$C$13)*U27</f>
        <v>34978.801637866651</v>
      </c>
      <c r="AL27" s="108">
        <f>MAX(AJ27,AK27-Paramètres!$E$13*(T27-U27)*2)+MAX(P27,0)*Paramètres!$E$9+MAX(Q27+AI27,0)*Paramètres!$E$9+MAX(R27*Paramètres!$E$12,Paramètres!$E$11)</f>
        <v>36123.801637866651</v>
      </c>
      <c r="AM27" s="150">
        <f>MAX(AL27-11%/9*Simulation!$C$7*(B27&lt;=9),0)-X27</f>
        <v>0</v>
      </c>
      <c r="AN27" s="149">
        <f>MAX(MAX(C27-D27,0)-SUM(E27:H27),-MIN(SUM(O27:R27),Paramètres!$E$19+MAX(P27,0)))</f>
        <v>0</v>
      </c>
      <c r="AO27" s="108">
        <f t="shared" si="18"/>
        <v>0</v>
      </c>
      <c r="AP27" s="108">
        <f t="shared" si="22"/>
        <v>-1.8189894035458565E-12</v>
      </c>
      <c r="AQ27" s="108">
        <f t="shared" si="9"/>
        <v>0</v>
      </c>
      <c r="AR27" s="108">
        <f t="shared" si="10"/>
        <v>0</v>
      </c>
      <c r="AS27" s="108">
        <f>(MAX(MIN(Paramètres!$B$9,(O27+P27+AQ27+MAX(Q27,0)+R27)/T27),0)*Paramètres!$C$9+MAX(MIN(Paramètres!$B$10,(O27+P27+AQ27+MAX(Q27,0)+R27)/T27)-Paramètres!$B$9,0)*Paramètres!$C$10+MAX(MIN(Paramètres!$B$11,(O27+P27+AQ27+MAX(Q27,0)+R27)/T27)-Paramètres!$B$10,0)*Paramètres!$C$11+MAX(MIN(Paramètres!$B$12,(O27+P27+AQ27+MAX(Q27,0)+R27)/T27)-Paramètres!$B$11,0)*Paramètres!$C$12+MAX(MIN(Paramètres!$B$13,(O27+P27+AQ27+MAX(Q27,0)+R27)/T27)-Paramètres!$B$12,0)*Paramètres!$C$13)*T27</f>
        <v>34978.801637866651</v>
      </c>
      <c r="AT27" s="108">
        <f>(MAX(MIN(Paramètres!$B$9,(O27+P27+AQ27+MAX(Q27,0)+R27)/U27),0)*Paramètres!$C$9+MAX(MIN(Paramètres!$B$10,(O27+P27+AQ27+MAX(Q27,0)+R27)/U27)-Paramètres!$B$9,0)*Paramètres!$C$10+MAX(MIN(Paramètres!$B$11,(O27+P27+AQ27+MAX(Q27,0)+R27)/U27)-Paramètres!$B$10,0)*Paramètres!$C$11+MAX(MIN(Paramètres!$B$12,(O27+P27+AQ27+MAX(Q27,0)+R27)/U27)-Paramètres!$B$11,0)*Paramètres!$C$12+MAX(MIN(Paramètres!$B$13,(O27+P27+AQ27+MAX(Q27,0)+R27)/U27)-Paramètres!$B$12,0)*Paramètres!$C$13)*U27</f>
        <v>34978.801637866651</v>
      </c>
      <c r="AU27" s="108">
        <f>MAX(AS27,AT27-Paramètres!$E$13*(T27-U27)*2)+MAX(P27+AQ27,0)*Paramètres!$E$9+MAX(Q27,0)*Paramètres!$E$9+MAX(R27*Paramètres!$E$12,Paramètres!$E$11)</f>
        <v>36123.801637866651</v>
      </c>
      <c r="AV27" s="150">
        <f t="shared" si="2"/>
        <v>0</v>
      </c>
      <c r="AW27" s="108">
        <f t="shared" si="3"/>
        <v>0</v>
      </c>
      <c r="AX27" s="108">
        <f>(MAX(MIN(Paramètres!$B$9,(O27+MAX(P27+AW27,0)+MAX(Q27,0)+R27)/T27),0)*Paramètres!$C$9+MAX(MIN(Paramètres!$B$10,(O27+MAX(P27+AW27,0)+MAX(Q27,0)+R27)/T27)-Paramètres!$B$9,0)*Paramètres!$C$10+MAX(MIN(Paramètres!$B$11,(O27+MAX(P27+AW27,0)+MAX(Q27,0)+R27)/T27)-Paramètres!$B$10,0)*Paramètres!$C$11+MAX(MIN(Paramètres!$B$12,(O27+MAX(P27+AW27,0)+MAX(Q27,0)+R27)/T27)-Paramètres!$B$11,0)*Paramètres!$C$12+MAX(MIN(Paramètres!$B$13,(O27+MAX(P27+AW27,0)+MAX(Q27,0)+R27)/T27)-Paramètres!$B$12,0)*Paramètres!$C$13)*T27</f>
        <v>34978.801637866651</v>
      </c>
      <c r="AY27" s="108">
        <f>(MAX(MIN(Paramètres!$B$9,(O27+MAX(P27+AW27,0)+MAX(Q27,0)+R27)/U27),0)*Paramètres!$C$9+MAX(MIN(Paramètres!$B$10,(O27+MAX(P27+AW27,0)+MAX(Q27,0)+R27)/U27)-Paramètres!$B$9,0)*Paramètres!$C$10+MAX(MIN(Paramètres!$B$11,(O27+MAX(P27+AW27,0)+MAX(Q27,0)+R27)/U27)-Paramètres!$B$10,0)*Paramètres!$C$11+MAX(MIN(Paramètres!$B$12,(O27+MAX(P27+AW27,0)+MAX(Q27,0)+R27)/U27)-Paramètres!$B$11,0)*Paramètres!$C$12+MAX(MIN(Paramètres!$B$13,(O27+MAX(P27+AW27,0)+MAX(Q27,0)+R27)/U27)-Paramètres!$B$12,0)*Paramètres!$C$13)*U27</f>
        <v>34978.801637866651</v>
      </c>
      <c r="AZ27" s="108">
        <f>MAX(AX27,AY27-Paramètres!$E$13*(T27-U27)*2)+MAX(P27+AW27,0)*Paramètres!$E$9+MAX(Q27,0)*Paramètres!$E$9+MAX(R27*Paramètres!$E$12,Paramètres!$E$11)</f>
        <v>36123.801637866651</v>
      </c>
      <c r="BA27" s="108">
        <f t="shared" si="4"/>
        <v>0</v>
      </c>
      <c r="BB27" s="149">
        <f>MAX(MAX(C27-D27,0)-SUM(E27:H27),-MIN(SUM(O27:R27),Paramètres!$E$19+MAX(P27,0)))</f>
        <v>0</v>
      </c>
      <c r="BC27" s="108">
        <f t="shared" si="20"/>
        <v>0</v>
      </c>
      <c r="BD27" s="108">
        <f t="shared" si="23"/>
        <v>-1.8189894035458565E-12</v>
      </c>
      <c r="BE27" s="108">
        <f t="shared" si="11"/>
        <v>0</v>
      </c>
      <c r="BF27" s="108">
        <f t="shared" si="12"/>
        <v>0</v>
      </c>
      <c r="BG27" s="108">
        <f>(MAX(MIN(Paramètres!$B$9,(O27+P27+BE27+MAX(Q27,0)+R27)/T27),0)*Paramètres!$C$9+MAX(MIN(Paramètres!$B$10,(O27+P27+BE27+MAX(Q27,0)+R27)/T27)-Paramètres!$B$9,0)*Paramètres!$C$10+MAX(MIN(Paramètres!$B$11,(O27+P27+BE27+MAX(Q27,0)+R27)/T27)-Paramètres!$B$10,0)*Paramètres!$C$11+MAX(MIN(Paramètres!$B$12,(O27+P27+BE27+MAX(Q27,0)+R27)/T27)-Paramètres!$B$11,0)*Paramètres!$C$12+MAX(MIN(Paramètres!$B$13,(O27+P27+BE27+MAX(Q27,0)+R27)/T27)-Paramètres!$B$12,0)*Paramètres!$C$13)*T27</f>
        <v>34978.801637866651</v>
      </c>
      <c r="BH27" s="108">
        <f>(MAX(MIN(Paramètres!$B$9,(O27+P27+BE27+MAX(Q27,0)+R27)/U27),0)*Paramètres!$C$9+MAX(MIN(Paramètres!$B$10,(O27+P27+BE27+MAX(Q27,0)+R27)/U27)-Paramètres!$B$9,0)*Paramètres!$C$10+MAX(MIN(Paramètres!$B$11,(O27+P27+BE27+MAX(Q27,0)+R27)/U27)-Paramètres!$B$10,0)*Paramètres!$C$11+MAX(MIN(Paramètres!$B$12,(O27+P27+BE27+MAX(Q27,0)+R27)/U27)-Paramètres!$B$11,0)*Paramètres!$C$12+MAX(MIN(Paramètres!$B$13,(O27+P27+BE27+MAX(Q27,0)+R27)/U27)-Paramètres!$B$12,0)*Paramètres!$C$13)*U27</f>
        <v>34978.801637866651</v>
      </c>
      <c r="BI27" s="108">
        <f>MAX(BG27,BH27-Paramètres!$E$13*(T27-U27)*2)+MAX(P27+BE27,0)*Paramètres!$E$9+MAX(Q27,0)*Paramètres!$E$9+MAX(R27*Paramètres!$E$12,Paramètres!$E$11)</f>
        <v>36123.801637866651</v>
      </c>
      <c r="BJ27" s="150">
        <f>MAX(BI27-IFERROR(VLOOKUP(B27,Paramètres!$B$28:$C$39,2,FALSE),0)*MIN(MIN((Simulation!$C$7+Simulation!$C$12+Simulation!$C$8+Simulation!$C$10)/Simulation!$C$28,Paramètres!$C$26)*Simulation!$C$28,Paramètres!$C$25),0)-X27</f>
        <v>0</v>
      </c>
      <c r="BK27" s="108">
        <f t="shared" si="13"/>
        <v>0</v>
      </c>
      <c r="BL27" s="108">
        <f>(MAX(MIN(Paramètres!$B$9,(O27+MAX(P27+BK27,0)+MAX(Q27,0)+R27)/T27),0)*Paramètres!$C$9+MAX(MIN(Paramètres!$B$10,(O27+MAX(P27+BK27,0)+MAX(Q27,0)+R27)/T27)-Paramètres!$B$9,0)*Paramètres!$C$10+MAX(MIN(Paramètres!$B$11,(O27+MAX(P27+BK27,0)+MAX(Q27,0)+R27)/T27)-Paramètres!$B$10,0)*Paramètres!$C$11+MAX(MIN(Paramètres!$B$12,(O27+MAX(P27+BK27,0)+MAX(Q27,0)+R27)/T27)-Paramètres!$B$11,0)*Paramètres!$C$12+MAX(MIN(Paramètres!$B$13,(O27+MAX(P27+BK27,0)+MAX(Q27,0)+R27)/T27)-Paramètres!$B$12,0)*Paramètres!$C$13)*T27</f>
        <v>34978.801637866651</v>
      </c>
      <c r="BM27" s="108">
        <f>(MAX(MIN(Paramètres!$B$9,(O27+MAX(P27+BK27,0)+MAX(Q27,0)+R27)/U27),0)*Paramètres!$C$9+MAX(MIN(Paramètres!$B$10,(O27+MAX(P27+BK27,0)+MAX(Q27,0)+R27)/U27)-Paramètres!$B$9,0)*Paramètres!$C$10+MAX(MIN(Paramètres!$B$11,(O27+MAX(P27+BK27,0)+MAX(Q27,0)+R27)/U27)-Paramètres!$B$10,0)*Paramètres!$C$11+MAX(MIN(Paramètres!$B$12,(O27+MAX(P27+BK27,0)+MAX(Q27,0)+R27)/U27)-Paramètres!$B$11,0)*Paramètres!$C$12+MAX(MIN(Paramètres!$B$13,(O27+MAX(P27+BK27,0)+MAX(Q27,0)+R27)/U27)-Paramètres!$B$12,0)*Paramètres!$C$13)*U27</f>
        <v>34978.801637866651</v>
      </c>
      <c r="BN27" s="108">
        <f>MAX(BL27,BM27-Paramètres!$E$13*(T27-U27)*2)+MAX(P27+BK27,0)*Paramètres!$E$9+MAX(Q27,0)*Paramètres!$E$9+MAX(R27*Paramètres!$E$12,Paramètres!$E$11)</f>
        <v>36123.801637866651</v>
      </c>
      <c r="BO27" s="108">
        <f>MAX(BN27-IFERROR(VLOOKUP(B27,Paramètres!$B$28:$C$39,2,FALSE),0)*MIN(MIN((Simulation!$C$7+Simulation!$C$12+Simulation!$C$8+Simulation!$C$10)/Simulation!$C$28,Paramètres!$C$26)*Simulation!$C$28,Paramètres!$C$25),0)-X27</f>
        <v>0</v>
      </c>
      <c r="BP27" s="126">
        <f t="shared" si="14"/>
        <v>0</v>
      </c>
      <c r="BQ27" s="108">
        <f t="shared" si="15"/>
        <v>0</v>
      </c>
      <c r="BR27" s="108">
        <f t="shared" si="21"/>
        <v>0</v>
      </c>
      <c r="BS27" s="108">
        <f t="shared" si="19"/>
        <v>0</v>
      </c>
      <c r="BT27" s="108">
        <f t="shared" si="16"/>
        <v>0</v>
      </c>
      <c r="BU27" s="108">
        <f>(MAX(MIN(Paramètres!$B$9,(O27+MAX(P27,0)+MAX(Q27,0)+R27+BS27)/T27),0)*Paramètres!$C$9+MAX(MIN(Paramètres!$B$10,(O27+MAX(P27,0)+MAX(Q27,0)+R27+BS27)/T27)-Paramètres!$B$9,0)*Paramètres!$C$10+MAX(MIN(Paramètres!$B$11,(O27+MAX(P27,0)+MAX(Q27,0)+R27+BS27)/T27)-Paramètres!$B$10,0)*Paramètres!$C$11+MAX(MIN(Paramètres!$B$12,(O27+MAX(P27,0)+MAX(Q27,0)+R27+BS27)/T27)-Paramètres!$B$11,0)*Paramètres!$C$12+MAX(MIN(Paramètres!$B$13,(O27+MAX(P27,0)+MAX(Q27,0)+R27+BS27)/T27)-Paramètres!$B$12,0)*Paramètres!$C$13)*T27</f>
        <v>34978.801637866651</v>
      </c>
      <c r="BV27" s="108">
        <f>(MAX(MIN(Paramètres!$B$9,(O27+MAX(P27,0)+MAX(Q27,0)+R27+BS27)/U27),0)*Paramètres!$C$9+MAX(MIN(Paramètres!$B$10,(O27+MAX(P27,0)+MAX(Q27,0)+R27+BS27)/U27)-Paramètres!$B$9,0)*Paramètres!$C$10+MAX(MIN(Paramètres!$B$11,(O27+MAX(P27,0)+MAX(Q27,0)+R27+BS27)/U27)-Paramètres!$B$10,0)*Paramètres!$C$11+MAX(MIN(Paramètres!$B$12,(O27+MAX(P27,0)+MAX(Q27,0)+R27+BS27)/U27)-Paramètres!$B$11,0)*Paramètres!$C$12+MAX(MIN(Paramètres!$B$13,(O27+MAX(P27,0)+MAX(Q27,0)+R27+BS27)/U27)-Paramètres!$B$12,0)*Paramètres!$C$13)*U27</f>
        <v>34978.801637866651</v>
      </c>
      <c r="BW27" s="108">
        <f>MAX(BU27,BV27-Paramètres!$E$13*(T27-U27)*2)+MAX(P27,0)*Paramètres!$E$9+MAX(Q27,0)*Paramètres!$E$9+MAX((R27+BS27)*Paramètres!$E$12,Paramètres!$E$11)</f>
        <v>36123.801637866651</v>
      </c>
      <c r="BX27" s="108">
        <f t="shared" si="17"/>
        <v>0</v>
      </c>
      <c r="BY27" s="149">
        <f>(C27-SUM(D27:N27)+MIN(BY26,0))*(B27&lt;=Simulation!$F$24)</f>
        <v>0</v>
      </c>
      <c r="BZ27" s="108">
        <f>(Simulation!$F$22-(Simulation!$C$13-SUM($I$8:$N$37)))*(B27=Simulation!$F$24)</f>
        <v>0</v>
      </c>
      <c r="CA27" s="108">
        <f>MAX(MIN(BY27+BZ27,Paramètres!$B$17)*Paramètres!$C$17+MAX(MIN(BY27+BZ27,Paramètres!$B$18)-Paramètres!$B$17,0)*Paramètres!$C$18+MAX(MIN(BY27+BZ27,Paramètres!$B$19)-Paramètres!$B$18,0)*Paramètres!$C$19,0)</f>
        <v>0</v>
      </c>
      <c r="CB27" s="150">
        <f>MAX(MIN(BY27,Paramètres!$B$17)*Paramètres!$C$17+MAX(MIN(BY27,Paramètres!$B$18)-Paramètres!$B$17,0)*Paramètres!$C$18+MAX(MIN(BY27,Paramètres!$B$19)-Paramètres!$B$18,0)*Paramètres!$C$19,0)</f>
        <v>0</v>
      </c>
      <c r="CC27" s="108">
        <f>(C27-SUM(D27:N27)+MIN(CC26,0))*(B27&lt;=Simulation!$F$24)</f>
        <v>0</v>
      </c>
      <c r="CD27" s="108">
        <f>(Simulation!$F$22-(Simulation!$C$13-SUM($I$8:$N$37)))*(B27=Simulation!$F$24)</f>
        <v>0</v>
      </c>
      <c r="CE27" s="108">
        <f>MAX(MIN(CC27+CD27,Paramètres!$B$17)*Paramètres!$C$17+MAX(MIN(CC27+CD27,Paramètres!$B$18)-Paramètres!$B$17,0)*Paramètres!$C$18+MAX(MIN(CC27+CD27,Paramètres!$B$19)-Paramètres!$B$18,0)*Paramètres!$C$19,0)</f>
        <v>0</v>
      </c>
      <c r="CF27" s="108">
        <f>MAX(MIN(CC27,Paramètres!$B$17)*Paramètres!$C$17+MAX(MIN(CC27,Paramètres!$B$18)-Paramètres!$B$17,0)*Paramètres!$C$18+MAX(MIN(CC27,Paramètres!$B$19)-Paramètres!$B$18,0)*Paramètres!$C$19,0)</f>
        <v>0</v>
      </c>
      <c r="CG27" s="108">
        <f>MAX(CC27+CD27-CF27,0)*(1-Paramètres!$E$17)*Paramètres!$E$18</f>
        <v>0</v>
      </c>
      <c r="CH27" s="54">
        <f>MAX(CC27-CF27,0)*(1-Paramètres!$E$17)*Paramètres!$E$18</f>
        <v>0</v>
      </c>
      <c r="CI27" s="127">
        <f ca="1">OFFSET($AC27,0,VLOOKUP(Simulation!$C$27,Simulation!$Q$5:$R$14,2,FALSE))</f>
        <v>0</v>
      </c>
      <c r="CK27" s="167"/>
      <c r="CL27" s="167"/>
      <c r="CM27" s="167"/>
      <c r="CN27" s="167"/>
      <c r="CO27" s="167"/>
      <c r="CP27" s="167"/>
      <c r="CQ27" s="167"/>
      <c r="CR27" s="167"/>
      <c r="CS27" s="167"/>
      <c r="CT27" s="167"/>
      <c r="CU27" s="167"/>
      <c r="CV27" s="167"/>
    </row>
    <row r="28" spans="2:100" x14ac:dyDescent="0.2">
      <c r="B28" s="40">
        <f t="shared" si="0"/>
        <v>21</v>
      </c>
      <c r="C28" s="143">
        <f>SUMPRODUCT('Détail trésorerie'!$H$8:$H$367*('Détail trésorerie'!$B$8:$B$367&gt;$B27*12)*('Détail trésorerie'!$B$8:$B$367&lt;=$B28*12))</f>
        <v>0</v>
      </c>
      <c r="D28" s="143">
        <f>SUMPRODUCT('Détail trésorerie'!$E$8:$E$367*('Détail trésorerie'!$B$8:$B$367&gt;$B27*12)*('Détail trésorerie'!$B$8:$B$367&lt;=$B28*12))</f>
        <v>0</v>
      </c>
      <c r="E28" s="144">
        <f>SUMPRODUCT('Détail trésorerie'!$J$8:$J$367*('Détail trésorerie'!$B$8:$B$367&gt;$B27*12)*('Détail trésorerie'!$B$8:$B$367&lt;=$B28*12))</f>
        <v>0</v>
      </c>
      <c r="F28" s="144">
        <f>SUMPRODUCT('Détail trésorerie'!$K$8:$K$367*('Détail trésorerie'!$B$8:$B$367&gt;$B27*12)*('Détail trésorerie'!$B$8:$B$367&lt;=$B28*12))</f>
        <v>0</v>
      </c>
      <c r="G28" s="144">
        <f>SUMPRODUCT('Détail trésorerie'!$L$8:$L$367*('Détail trésorerie'!$B$8:$B$367&gt;$B27*12)*('Détail trésorerie'!$B$8:$B$367&lt;=$B28*12))</f>
        <v>0</v>
      </c>
      <c r="H28" s="145">
        <f>SUMPRODUCT('Détail trésorerie'!$M$8:$M$367*('Détail trésorerie'!$B$8:$B$367&gt;$B27*12)*('Détail trésorerie'!$B$8:$B$367&lt;=$B28*12))</f>
        <v>0</v>
      </c>
      <c r="I28" s="126">
        <f>MAX(MIN(Paramètres!$E$3*Simulation!$C$7*Paramètres!$C$3,Simulation!$C$7*Paramètres!$E$3-SUM(I$8:$I27)),0)*(B28&lt;=Simulation!$F$24)</f>
        <v>0</v>
      </c>
      <c r="J28" s="108">
        <f>MAX(MIN(Paramètres!$E$4*Simulation!$C$7*Paramètres!$C$4,Simulation!$C$7*Paramètres!$E$4-SUM($J$8:J27)),0)*(B28&lt;=Simulation!$F$24)</f>
        <v>0</v>
      </c>
      <c r="K28" s="108">
        <f>MAX(MIN(Paramètres!$E$5*Simulation!$C$8*Paramètres!$C$5,Paramètres!$E$5*Simulation!$C$8-SUM($K$8:K27)),0)*(B28&lt;=Simulation!$F$24)</f>
        <v>0</v>
      </c>
      <c r="L28" s="108">
        <v>0</v>
      </c>
      <c r="M28" s="108">
        <v>0</v>
      </c>
      <c r="N28" s="108">
        <f>MAX(MIN(Paramètres!$C$6*(Simulation!$C$10+Simulation!$C$11+Simulation!$C$12),(Simulation!$C$10+Simulation!$C$11+Simulation!$C$12)-SUM(N$8:N27)),0)*(B28&lt;=Simulation!$F$24)</f>
        <v>0</v>
      </c>
      <c r="O28" s="148">
        <f>25000*8/2*(1+Emprunteur!$F$7)^$B28</f>
        <v>123239.19403474467</v>
      </c>
      <c r="P28" s="165">
        <f>0*(1+Emprunteur!$F$8)^$B28</f>
        <v>0</v>
      </c>
      <c r="Q28" s="165">
        <f>0*(1+Emprunteur!$F$9)^$B28</f>
        <v>0</v>
      </c>
      <c r="R28" s="165">
        <f>0*(1+Emprunteur!$F$10)^$B28</f>
        <v>0</v>
      </c>
      <c r="S28" s="108">
        <f t="shared" si="5"/>
        <v>123239.19403474467</v>
      </c>
      <c r="T28" s="157">
        <v>1</v>
      </c>
      <c r="U28" s="157">
        <v>1</v>
      </c>
      <c r="V28" s="108">
        <f>(MAX(MIN(Paramètres!$B$9,S28/T28),0)*Paramètres!$C$9+MAX(MIN(Paramètres!$B$10,S28/T28)-Paramètres!$B$9,0)*Paramètres!$C$10+MAX(MIN(Paramètres!$B$11,S28/T28)-Paramètres!$B$10,0)*Paramètres!$C$11+MAX(MIN(Paramètres!$B$12,S28/T28)-Paramètres!$B$11,0)*Paramètres!$C$12+MAX(MIN(Paramètres!$B$13,S28/T28)-Paramètres!$B$12,0)*Paramètres!$C$13)*T28</f>
        <v>35479.079554245312</v>
      </c>
      <c r="W28" s="108">
        <f>(MAX(MIN(Paramètres!$B$9,S28/U28),0)*Paramètres!$C$9+MAX(MIN(Paramètres!$B$10,S28/U28)-Paramètres!$B$9,0)*Paramètres!$C$10+MAX(MIN(Paramètres!$B$11,S28/U28)-Paramètres!$B$10,0)*Paramètres!$C$11+MAX(MIN(Paramètres!$B$12,S28/U28)-Paramètres!$B$11,0)*Paramètres!$C$12+MAX(MIN(Paramètres!$B$13,S28/U28)-Paramètres!$B$12,0)*Paramètres!$C$13)*U28</f>
        <v>35479.079554245312</v>
      </c>
      <c r="X28" s="108">
        <f>MAX(V28,W28-Paramètres!$E$13*(T28-U28)*2)+MAX(P28,0)*Paramètres!$E$9+MAX(Q28,0)*Paramètres!$E$9+MAX(R28*Paramètres!$E$12,Paramètres!$E$11)</f>
        <v>36624.079554245312</v>
      </c>
      <c r="Y28" s="126">
        <f>(C28-SUM(D28:N28)+MIN(Y27,0))*(B28&lt;=Simulation!$F$24)</f>
        <v>0</v>
      </c>
      <c r="Z28" s="108">
        <f>(MAX(MIN(Paramètres!$B$9,(O28+MAX(P28,0)+MAX(Q28+Y28,0)+R28)/T28),0)*Paramètres!$C$9+MAX(MIN(Paramètres!$B$10,(O28+MAX(P28,0)+MAX(Q28+Y28,0)+R28)/T28)-Paramètres!$B$9,0)*Paramètres!$C$10+MAX(MIN(Paramètres!$B$11,(O28+MAX(P28,0)+MAX(Q28+Y28,0)+R28)/T28)-Paramètres!$B$10,0)*Paramètres!$C$11+MAX(MIN(Paramètres!$B$12,(O28+MAX(P28,0)+MAX(Q28+Y28,0)+R28)/T28)-Paramètres!$B$11,0)*Paramètres!$C$12+MAX(MIN(Paramètres!$B$13,(O28+MAX(P28,0)+MAX(Q28+Y28,0)+R28)/T28)-Paramètres!$B$12,0)*Paramètres!$C$13)*T28</f>
        <v>35479.079554245312</v>
      </c>
      <c r="AA28" s="108">
        <f>(MAX(MIN(Paramètres!$B$9,(O28+MAX(P28,0)+MAX(Q28+Y28,0)+R28)/U28),0)*Paramètres!$C$9+MAX(MIN(Paramètres!$B$10,(O28+MAX(P28,0)+MAX(Q28+Y28,0)+R28)/U28)-Paramètres!$B$9,0)*Paramètres!$C$10+MAX(MIN(Paramètres!$B$11,(O28+MAX(P28,0)+MAX(Q28+Y28,0)+R28)/U28)-Paramètres!$B$10,0)*Paramètres!$C$11+MAX(MIN(Paramètres!$B$12,(O28+MAX(P28,0)+MAX(Q28+Y28,0)+R28)/U28)-Paramètres!$B$11,0)*Paramètres!$C$12+MAX(MIN(Paramètres!$B$13,(O28+MAX(P28,0)+MAX(Q28+Y28,0)+R28)/U28)-Paramètres!$B$12,0)*Paramètres!$C$13)*U28</f>
        <v>35479.079554245312</v>
      </c>
      <c r="AB28" s="108">
        <f>MAX(Z28,AA28-Paramètres!$E$13*(T28-U28)*2)+MAX(P28,0)*Paramètres!$E$9+MAX(Q28+Y28,0)*Paramètres!$E$9+MAX(R28*Paramètres!$E$12,Paramètres!$E$11)</f>
        <v>36624.079554245312</v>
      </c>
      <c r="AC28" s="108">
        <f t="shared" si="6"/>
        <v>0</v>
      </c>
      <c r="AD28" s="149">
        <f t="shared" si="1"/>
        <v>0</v>
      </c>
      <c r="AE28" s="108">
        <f>(MAX(MIN(Paramètres!$B$9,(O28+MAX(P28,0)+MAX(Q28+AD28,0)+R28)/T28),0)*Paramètres!$C$9+MAX(MIN(Paramètres!$B$10,(O28+MAX(P28,0)+MAX(Q28+AD28,0)+R28)/T28)-Paramètres!$B$9,0)*Paramètres!$C$10+MAX(MIN(Paramètres!$B$11,(O28+MAX(P28,0)+MAX(Q28+AD28,0)+R28)/T28)-Paramètres!$B$10,0)*Paramètres!$C$11+MAX(MIN(Paramètres!$B$12,(O28+MAX(P28,0)+MAX(Q28+AD28,0)+R28)/T28)-Paramètres!$B$11,0)*Paramètres!$C$12+MAX(MIN(Paramètres!$B$13,(O28+MAX(P28,0)+MAX(Q28+AD28,0)+R28)/T28)-Paramètres!$B$12,0)*Paramètres!$C$13)*T28</f>
        <v>35479.079554245312</v>
      </c>
      <c r="AF28" s="108">
        <f>(MAX(MIN(Paramètres!$B$9,(O28+MAX(P28,0)+MAX(Q28+AD28,0)+R28)/U28),0)*Paramètres!$C$9+MAX(MIN(Paramètres!$B$10,(O28+MAX(P28,0)+MAX(Q28+AD28,0)+R28)/U28)-Paramètres!$B$9,0)*Paramètres!$C$10+MAX(MIN(Paramètres!$B$11,(O28+MAX(P28,0)+MAX(Q28+AD28,0)+R28)/U28)-Paramètres!$B$10,0)*Paramètres!$C$11+MAX(MIN(Paramètres!$B$12,(O28+MAX(P28,0)+MAX(Q28+AD28,0)+R28)/U28)-Paramètres!$B$11,0)*Paramètres!$C$12+MAX(MIN(Paramètres!$B$13,(O28+MAX(P28,0)+MAX(Q28+AD28,0)+R28)/U28)-Paramètres!$B$12,0)*Paramètres!$C$13)*U28</f>
        <v>35479.079554245312</v>
      </c>
      <c r="AG28" s="108">
        <f>MAX(AE28,AF28-Paramètres!$E$13*(T28-U28)*2)+MAX(P28,0)*Paramètres!$E$9+MAX(Q28+AD28,0)*Paramètres!$E$9+MAX(R28*Paramètres!$E$12,Paramètres!$E$11)</f>
        <v>36624.079554245312</v>
      </c>
      <c r="AH28" s="150">
        <f t="shared" si="7"/>
        <v>0</v>
      </c>
      <c r="AI28" s="149">
        <f t="shared" si="8"/>
        <v>0</v>
      </c>
      <c r="AJ28" s="108">
        <f>(MAX(MIN(Paramètres!$B$9,(O28+MAX(P28,0)+MAX(Q28+AI28,0)+R28)/T28),0)*Paramètres!$C$9+MAX(MIN(Paramètres!$B$10,(O28+MAX(P28,0)+MAX(Q28+AI28,0)+R28)/T28)-Paramètres!$B$9,0)*Paramètres!$C$10+MAX(MIN(Paramètres!$B$11,(O28+MAX(P28,0)+MAX(Q28+AI28,0)+R28)/T28)-Paramètres!$B$10,0)*Paramètres!$C$11+MAX(MIN(Paramètres!$B$12,(O28+MAX(P28,0)+MAX(Q28+AI28,0)+R28)/T28)-Paramètres!$B$11,0)*Paramètres!$C$12+MAX(MIN(Paramètres!$B$13,(O28+MAX(P28,0)+MAX(Q28+AI28,0)+R28)/T28)-Paramètres!$B$12,0)*Paramètres!$C$13)*T28</f>
        <v>35479.079554245312</v>
      </c>
      <c r="AK28" s="108">
        <f>(MAX(MIN(Paramètres!$B$9,(O28+MAX(P28,0)+MAX(Q28+AI28,0)+R28)/U28),0)*Paramètres!$C$9+MAX(MIN(Paramètres!$B$10,(O28+MAX(P28,0)+MAX(Q28+AI28,0)+R28)/U28)-Paramètres!$B$9,0)*Paramètres!$C$10+MAX(MIN(Paramètres!$B$11,(O28+MAX(P28,0)+MAX(Q28+AI28,0)+R28)/U28)-Paramètres!$B$10,0)*Paramètres!$C$11+MAX(MIN(Paramètres!$B$12,(O28+MAX(P28,0)+MAX(Q28+AI28,0)+R28)/U28)-Paramètres!$B$11,0)*Paramètres!$C$12+MAX(MIN(Paramètres!$B$13,(O28+MAX(P28,0)+MAX(Q28+AI28,0)+R28)/U28)-Paramètres!$B$12,0)*Paramètres!$C$13)*U28</f>
        <v>35479.079554245312</v>
      </c>
      <c r="AL28" s="108">
        <f>MAX(AJ28,AK28-Paramètres!$E$13*(T28-U28)*2)+MAX(P28,0)*Paramètres!$E$9+MAX(Q28+AI28,0)*Paramètres!$E$9+MAX(R28*Paramètres!$E$12,Paramètres!$E$11)</f>
        <v>36624.079554245312</v>
      </c>
      <c r="AM28" s="150">
        <f>MAX(AL28-11%/9*Simulation!$C$7*(B28&lt;=9),0)-X28</f>
        <v>0</v>
      </c>
      <c r="AN28" s="149">
        <f>MAX(MAX(C28-D28,0)-SUM(E28:H28),-MIN(SUM(O28:R28),Paramètres!$E$19+MAX(P28,0)))</f>
        <v>0</v>
      </c>
      <c r="AO28" s="108">
        <f t="shared" si="18"/>
        <v>0</v>
      </c>
      <c r="AP28" s="108">
        <f t="shared" si="22"/>
        <v>-9.0949470177292824E-13</v>
      </c>
      <c r="AQ28" s="108">
        <f t="shared" si="9"/>
        <v>0</v>
      </c>
      <c r="AR28" s="108">
        <f t="shared" si="10"/>
        <v>0</v>
      </c>
      <c r="AS28" s="108">
        <f>(MAX(MIN(Paramètres!$B$9,(O28+P28+AQ28+MAX(Q28,0)+R28)/T28),0)*Paramètres!$C$9+MAX(MIN(Paramètres!$B$10,(O28+P28+AQ28+MAX(Q28,0)+R28)/T28)-Paramètres!$B$9,0)*Paramètres!$C$10+MAX(MIN(Paramètres!$B$11,(O28+P28+AQ28+MAX(Q28,0)+R28)/T28)-Paramètres!$B$10,0)*Paramètres!$C$11+MAX(MIN(Paramètres!$B$12,(O28+P28+AQ28+MAX(Q28,0)+R28)/T28)-Paramètres!$B$11,0)*Paramètres!$C$12+MAX(MIN(Paramètres!$B$13,(O28+P28+AQ28+MAX(Q28,0)+R28)/T28)-Paramètres!$B$12,0)*Paramètres!$C$13)*T28</f>
        <v>35479.079554245312</v>
      </c>
      <c r="AT28" s="108">
        <f>(MAX(MIN(Paramètres!$B$9,(O28+P28+AQ28+MAX(Q28,0)+R28)/U28),0)*Paramètres!$C$9+MAX(MIN(Paramètres!$B$10,(O28+P28+AQ28+MAX(Q28,0)+R28)/U28)-Paramètres!$B$9,0)*Paramètres!$C$10+MAX(MIN(Paramètres!$B$11,(O28+P28+AQ28+MAX(Q28,0)+R28)/U28)-Paramètres!$B$10,0)*Paramètres!$C$11+MAX(MIN(Paramètres!$B$12,(O28+P28+AQ28+MAX(Q28,0)+R28)/U28)-Paramètres!$B$11,0)*Paramètres!$C$12+MAX(MIN(Paramètres!$B$13,(O28+P28+AQ28+MAX(Q28,0)+R28)/U28)-Paramètres!$B$12,0)*Paramètres!$C$13)*U28</f>
        <v>35479.079554245312</v>
      </c>
      <c r="AU28" s="108">
        <f>MAX(AS28,AT28-Paramètres!$E$13*(T28-U28)*2)+MAX(P28+AQ28,0)*Paramètres!$E$9+MAX(Q28,0)*Paramètres!$E$9+MAX(R28*Paramètres!$E$12,Paramètres!$E$11)</f>
        <v>36624.079554245312</v>
      </c>
      <c r="AV28" s="150">
        <f t="shared" si="2"/>
        <v>0</v>
      </c>
      <c r="AW28" s="108">
        <f t="shared" si="3"/>
        <v>0</v>
      </c>
      <c r="AX28" s="108">
        <f>(MAX(MIN(Paramètres!$B$9,(O28+MAX(P28+AW28,0)+MAX(Q28,0)+R28)/T28),0)*Paramètres!$C$9+MAX(MIN(Paramètres!$B$10,(O28+MAX(P28+AW28,0)+MAX(Q28,0)+R28)/T28)-Paramètres!$B$9,0)*Paramètres!$C$10+MAX(MIN(Paramètres!$B$11,(O28+MAX(P28+AW28,0)+MAX(Q28,0)+R28)/T28)-Paramètres!$B$10,0)*Paramètres!$C$11+MAX(MIN(Paramètres!$B$12,(O28+MAX(P28+AW28,0)+MAX(Q28,0)+R28)/T28)-Paramètres!$B$11,0)*Paramètres!$C$12+MAX(MIN(Paramètres!$B$13,(O28+MAX(P28+AW28,0)+MAX(Q28,0)+R28)/T28)-Paramètres!$B$12,0)*Paramètres!$C$13)*T28</f>
        <v>35479.079554245312</v>
      </c>
      <c r="AY28" s="108">
        <f>(MAX(MIN(Paramètres!$B$9,(O28+MAX(P28+AW28,0)+MAX(Q28,0)+R28)/U28),0)*Paramètres!$C$9+MAX(MIN(Paramètres!$B$10,(O28+MAX(P28+AW28,0)+MAX(Q28,0)+R28)/U28)-Paramètres!$B$9,0)*Paramètres!$C$10+MAX(MIN(Paramètres!$B$11,(O28+MAX(P28+AW28,0)+MAX(Q28,0)+R28)/U28)-Paramètres!$B$10,0)*Paramètres!$C$11+MAX(MIN(Paramètres!$B$12,(O28+MAX(P28+AW28,0)+MAX(Q28,0)+R28)/U28)-Paramètres!$B$11,0)*Paramètres!$C$12+MAX(MIN(Paramètres!$B$13,(O28+MAX(P28+AW28,0)+MAX(Q28,0)+R28)/U28)-Paramètres!$B$12,0)*Paramètres!$C$13)*U28</f>
        <v>35479.079554245312</v>
      </c>
      <c r="AZ28" s="108">
        <f>MAX(AX28,AY28-Paramètres!$E$13*(T28-U28)*2)+MAX(P28+AW28,0)*Paramètres!$E$9+MAX(Q28,0)*Paramètres!$E$9+MAX(R28*Paramètres!$E$12,Paramètres!$E$11)</f>
        <v>36624.079554245312</v>
      </c>
      <c r="BA28" s="108">
        <f t="shared" si="4"/>
        <v>0</v>
      </c>
      <c r="BB28" s="149">
        <f>MAX(MAX(C28-D28,0)-SUM(E28:H28),-MIN(SUM(O28:R28),Paramètres!$E$19+MAX(P28,0)))</f>
        <v>0</v>
      </c>
      <c r="BC28" s="108">
        <f t="shared" si="20"/>
        <v>0</v>
      </c>
      <c r="BD28" s="108">
        <f t="shared" si="23"/>
        <v>-9.0949470177292824E-13</v>
      </c>
      <c r="BE28" s="108">
        <f t="shared" si="11"/>
        <v>0</v>
      </c>
      <c r="BF28" s="108">
        <f t="shared" si="12"/>
        <v>0</v>
      </c>
      <c r="BG28" s="108">
        <f>(MAX(MIN(Paramètres!$B$9,(O28+P28+BE28+MAX(Q28,0)+R28)/T28),0)*Paramètres!$C$9+MAX(MIN(Paramètres!$B$10,(O28+P28+BE28+MAX(Q28,0)+R28)/T28)-Paramètres!$B$9,0)*Paramètres!$C$10+MAX(MIN(Paramètres!$B$11,(O28+P28+BE28+MAX(Q28,0)+R28)/T28)-Paramètres!$B$10,0)*Paramètres!$C$11+MAX(MIN(Paramètres!$B$12,(O28+P28+BE28+MAX(Q28,0)+R28)/T28)-Paramètres!$B$11,0)*Paramètres!$C$12+MAX(MIN(Paramètres!$B$13,(O28+P28+BE28+MAX(Q28,0)+R28)/T28)-Paramètres!$B$12,0)*Paramètres!$C$13)*T28</f>
        <v>35479.079554245312</v>
      </c>
      <c r="BH28" s="108">
        <f>(MAX(MIN(Paramètres!$B$9,(O28+P28+BE28+MAX(Q28,0)+R28)/U28),0)*Paramètres!$C$9+MAX(MIN(Paramètres!$B$10,(O28+P28+BE28+MAX(Q28,0)+R28)/U28)-Paramètres!$B$9,0)*Paramètres!$C$10+MAX(MIN(Paramètres!$B$11,(O28+P28+BE28+MAX(Q28,0)+R28)/U28)-Paramètres!$B$10,0)*Paramètres!$C$11+MAX(MIN(Paramètres!$B$12,(O28+P28+BE28+MAX(Q28,0)+R28)/U28)-Paramètres!$B$11,0)*Paramètres!$C$12+MAX(MIN(Paramètres!$B$13,(O28+P28+BE28+MAX(Q28,0)+R28)/U28)-Paramètres!$B$12,0)*Paramètres!$C$13)*U28</f>
        <v>35479.079554245312</v>
      </c>
      <c r="BI28" s="108">
        <f>MAX(BG28,BH28-Paramètres!$E$13*(T28-U28)*2)+MAX(P28+BE28,0)*Paramètres!$E$9+MAX(Q28,0)*Paramètres!$E$9+MAX(R28*Paramètres!$E$12,Paramètres!$E$11)</f>
        <v>36624.079554245312</v>
      </c>
      <c r="BJ28" s="150">
        <f>MAX(BI28-IFERROR(VLOOKUP(B28,Paramètres!$B$28:$C$39,2,FALSE),0)*MIN(MIN((Simulation!$C$7+Simulation!$C$12+Simulation!$C$8+Simulation!$C$10)/Simulation!$C$28,Paramètres!$C$26)*Simulation!$C$28,Paramètres!$C$25),0)-X28</f>
        <v>0</v>
      </c>
      <c r="BK28" s="108">
        <f t="shared" si="13"/>
        <v>0</v>
      </c>
      <c r="BL28" s="108">
        <f>(MAX(MIN(Paramètres!$B$9,(O28+MAX(P28+BK28,0)+MAX(Q28,0)+R28)/T28),0)*Paramètres!$C$9+MAX(MIN(Paramètres!$B$10,(O28+MAX(P28+BK28,0)+MAX(Q28,0)+R28)/T28)-Paramètres!$B$9,0)*Paramètres!$C$10+MAX(MIN(Paramètres!$B$11,(O28+MAX(P28+BK28,0)+MAX(Q28,0)+R28)/T28)-Paramètres!$B$10,0)*Paramètres!$C$11+MAX(MIN(Paramètres!$B$12,(O28+MAX(P28+BK28,0)+MAX(Q28,0)+R28)/T28)-Paramètres!$B$11,0)*Paramètres!$C$12+MAX(MIN(Paramètres!$B$13,(O28+MAX(P28+BK28,0)+MAX(Q28,0)+R28)/T28)-Paramètres!$B$12,0)*Paramètres!$C$13)*T28</f>
        <v>35479.079554245312</v>
      </c>
      <c r="BM28" s="108">
        <f>(MAX(MIN(Paramètres!$B$9,(O28+MAX(P28+BK28,0)+MAX(Q28,0)+R28)/U28),0)*Paramètres!$C$9+MAX(MIN(Paramètres!$B$10,(O28+MAX(P28+BK28,0)+MAX(Q28,0)+R28)/U28)-Paramètres!$B$9,0)*Paramètres!$C$10+MAX(MIN(Paramètres!$B$11,(O28+MAX(P28+BK28,0)+MAX(Q28,0)+R28)/U28)-Paramètres!$B$10,0)*Paramètres!$C$11+MAX(MIN(Paramètres!$B$12,(O28+MAX(P28+BK28,0)+MAX(Q28,0)+R28)/U28)-Paramètres!$B$11,0)*Paramètres!$C$12+MAX(MIN(Paramètres!$B$13,(O28+MAX(P28+BK28,0)+MAX(Q28,0)+R28)/U28)-Paramètres!$B$12,0)*Paramètres!$C$13)*U28</f>
        <v>35479.079554245312</v>
      </c>
      <c r="BN28" s="108">
        <f>MAX(BL28,BM28-Paramètres!$E$13*(T28-U28)*2)+MAX(P28+BK28,0)*Paramètres!$E$9+MAX(Q28,0)*Paramètres!$E$9+MAX(R28*Paramètres!$E$12,Paramètres!$E$11)</f>
        <v>36624.079554245312</v>
      </c>
      <c r="BO28" s="108">
        <f>MAX(BN28-IFERROR(VLOOKUP(B28,Paramètres!$B$28:$C$39,2,FALSE),0)*MIN(MIN((Simulation!$C$7+Simulation!$C$12+Simulation!$C$8+Simulation!$C$10)/Simulation!$C$28,Paramètres!$C$26)*Simulation!$C$28,Paramètres!$C$25),0)-X28</f>
        <v>0</v>
      </c>
      <c r="BP28" s="126">
        <f t="shared" si="14"/>
        <v>0</v>
      </c>
      <c r="BQ28" s="108">
        <f t="shared" si="15"/>
        <v>0</v>
      </c>
      <c r="BR28" s="108">
        <f t="shared" si="21"/>
        <v>0</v>
      </c>
      <c r="BS28" s="108">
        <f t="shared" si="19"/>
        <v>0</v>
      </c>
      <c r="BT28" s="108">
        <f t="shared" si="16"/>
        <v>0</v>
      </c>
      <c r="BU28" s="108">
        <f>(MAX(MIN(Paramètres!$B$9,(O28+MAX(P28,0)+MAX(Q28,0)+R28+BS28)/T28),0)*Paramètres!$C$9+MAX(MIN(Paramètres!$B$10,(O28+MAX(P28,0)+MAX(Q28,0)+R28+BS28)/T28)-Paramètres!$B$9,0)*Paramètres!$C$10+MAX(MIN(Paramètres!$B$11,(O28+MAX(P28,0)+MAX(Q28,0)+R28+BS28)/T28)-Paramètres!$B$10,0)*Paramètres!$C$11+MAX(MIN(Paramètres!$B$12,(O28+MAX(P28,0)+MAX(Q28,0)+R28+BS28)/T28)-Paramètres!$B$11,0)*Paramètres!$C$12+MAX(MIN(Paramètres!$B$13,(O28+MAX(P28,0)+MAX(Q28,0)+R28+BS28)/T28)-Paramètres!$B$12,0)*Paramètres!$C$13)*T28</f>
        <v>35479.079554245312</v>
      </c>
      <c r="BV28" s="108">
        <f>(MAX(MIN(Paramètres!$B$9,(O28+MAX(P28,0)+MAX(Q28,0)+R28+BS28)/U28),0)*Paramètres!$C$9+MAX(MIN(Paramètres!$B$10,(O28+MAX(P28,0)+MAX(Q28,0)+R28+BS28)/U28)-Paramètres!$B$9,0)*Paramètres!$C$10+MAX(MIN(Paramètres!$B$11,(O28+MAX(P28,0)+MAX(Q28,0)+R28+BS28)/U28)-Paramètres!$B$10,0)*Paramètres!$C$11+MAX(MIN(Paramètres!$B$12,(O28+MAX(P28,0)+MAX(Q28,0)+R28+BS28)/U28)-Paramètres!$B$11,0)*Paramètres!$C$12+MAX(MIN(Paramètres!$B$13,(O28+MAX(P28,0)+MAX(Q28,0)+R28+BS28)/U28)-Paramètres!$B$12,0)*Paramètres!$C$13)*U28</f>
        <v>35479.079554245312</v>
      </c>
      <c r="BW28" s="108">
        <f>MAX(BU28,BV28-Paramètres!$E$13*(T28-U28)*2)+MAX(P28,0)*Paramètres!$E$9+MAX(Q28,0)*Paramètres!$E$9+MAX((R28+BS28)*Paramètres!$E$12,Paramètres!$E$11)</f>
        <v>36624.079554245312</v>
      </c>
      <c r="BX28" s="108">
        <f t="shared" si="17"/>
        <v>0</v>
      </c>
      <c r="BY28" s="149">
        <f>(C28-SUM(D28:N28)+MIN(BY27,0))*(B28&lt;=Simulation!$F$24)</f>
        <v>0</v>
      </c>
      <c r="BZ28" s="108">
        <f>(Simulation!$F$22-(Simulation!$C$13-SUM($I$8:$N$37)))*(B28=Simulation!$F$24)</f>
        <v>0</v>
      </c>
      <c r="CA28" s="108">
        <f>MAX(MIN(BY28+BZ28,Paramètres!$B$17)*Paramètres!$C$17+MAX(MIN(BY28+BZ28,Paramètres!$B$18)-Paramètres!$B$17,0)*Paramètres!$C$18+MAX(MIN(BY28+BZ28,Paramètres!$B$19)-Paramètres!$B$18,0)*Paramètres!$C$19,0)</f>
        <v>0</v>
      </c>
      <c r="CB28" s="150">
        <f>MAX(MIN(BY28,Paramètres!$B$17)*Paramètres!$C$17+MAX(MIN(BY28,Paramètres!$B$18)-Paramètres!$B$17,0)*Paramètres!$C$18+MAX(MIN(BY28,Paramètres!$B$19)-Paramètres!$B$18,0)*Paramètres!$C$19,0)</f>
        <v>0</v>
      </c>
      <c r="CC28" s="108">
        <f>(C28-SUM(D28:N28)+MIN(CC27,0))*(B28&lt;=Simulation!$F$24)</f>
        <v>0</v>
      </c>
      <c r="CD28" s="108">
        <f>(Simulation!$F$22-(Simulation!$C$13-SUM($I$8:$N$37)))*(B28=Simulation!$F$24)</f>
        <v>0</v>
      </c>
      <c r="CE28" s="108">
        <f>MAX(MIN(CC28+CD28,Paramètres!$B$17)*Paramètres!$C$17+MAX(MIN(CC28+CD28,Paramètres!$B$18)-Paramètres!$B$17,0)*Paramètres!$C$18+MAX(MIN(CC28+CD28,Paramètres!$B$19)-Paramètres!$B$18,0)*Paramètres!$C$19,0)</f>
        <v>0</v>
      </c>
      <c r="CF28" s="108">
        <f>MAX(MIN(CC28,Paramètres!$B$17)*Paramètres!$C$17+MAX(MIN(CC28,Paramètres!$B$18)-Paramètres!$B$17,0)*Paramètres!$C$18+MAX(MIN(CC28,Paramètres!$B$19)-Paramètres!$B$18,0)*Paramètres!$C$19,0)</f>
        <v>0</v>
      </c>
      <c r="CG28" s="108">
        <f>MAX(CC28+CD28-CF28,0)*(1-Paramètres!$E$17)*Paramètres!$E$18</f>
        <v>0</v>
      </c>
      <c r="CH28" s="54">
        <f>MAX(CC28-CF28,0)*(1-Paramètres!$E$17)*Paramètres!$E$18</f>
        <v>0</v>
      </c>
      <c r="CI28" s="127">
        <f ca="1">OFFSET($AC28,0,VLOOKUP(Simulation!$C$27,Simulation!$Q$5:$R$14,2,FALSE))</f>
        <v>0</v>
      </c>
      <c r="CK28" s="167"/>
      <c r="CL28" s="167"/>
      <c r="CM28" s="167"/>
      <c r="CN28" s="167"/>
      <c r="CO28" s="167"/>
      <c r="CP28" s="167"/>
      <c r="CQ28" s="167"/>
      <c r="CR28" s="167"/>
      <c r="CS28" s="167"/>
      <c r="CT28" s="167"/>
      <c r="CU28" s="167"/>
      <c r="CV28" s="167"/>
    </row>
    <row r="29" spans="2:100" x14ac:dyDescent="0.2">
      <c r="B29" s="40">
        <f t="shared" si="0"/>
        <v>22</v>
      </c>
      <c r="C29" s="143">
        <f>SUMPRODUCT('Détail trésorerie'!$H$8:$H$367*('Détail trésorerie'!$B$8:$B$367&gt;$B28*12)*('Détail trésorerie'!$B$8:$B$367&lt;=$B29*12))</f>
        <v>0</v>
      </c>
      <c r="D29" s="143">
        <f>SUMPRODUCT('Détail trésorerie'!$E$8:$E$367*('Détail trésorerie'!$B$8:$B$367&gt;$B28*12)*('Détail trésorerie'!$B$8:$B$367&lt;=$B29*12))</f>
        <v>0</v>
      </c>
      <c r="E29" s="144">
        <f>SUMPRODUCT('Détail trésorerie'!$J$8:$J$367*('Détail trésorerie'!$B$8:$B$367&gt;$B28*12)*('Détail trésorerie'!$B$8:$B$367&lt;=$B29*12))</f>
        <v>0</v>
      </c>
      <c r="F29" s="144">
        <f>SUMPRODUCT('Détail trésorerie'!$K$8:$K$367*('Détail trésorerie'!$B$8:$B$367&gt;$B28*12)*('Détail trésorerie'!$B$8:$B$367&lt;=$B29*12))</f>
        <v>0</v>
      </c>
      <c r="G29" s="144">
        <f>SUMPRODUCT('Détail trésorerie'!$L$8:$L$367*('Détail trésorerie'!$B$8:$B$367&gt;$B28*12)*('Détail trésorerie'!$B$8:$B$367&lt;=$B29*12))</f>
        <v>0</v>
      </c>
      <c r="H29" s="145">
        <f>SUMPRODUCT('Détail trésorerie'!$M$8:$M$367*('Détail trésorerie'!$B$8:$B$367&gt;$B28*12)*('Détail trésorerie'!$B$8:$B$367&lt;=$B29*12))</f>
        <v>0</v>
      </c>
      <c r="I29" s="126">
        <f>MAX(MIN(Paramètres!$E$3*Simulation!$C$7*Paramètres!$C$3,Simulation!$C$7*Paramètres!$E$3-SUM(I$8:$I28)),0)*(B29&lt;=Simulation!$F$24)</f>
        <v>0</v>
      </c>
      <c r="J29" s="108">
        <f>MAX(MIN(Paramètres!$E$4*Simulation!$C$7*Paramètres!$C$4,Simulation!$C$7*Paramètres!$E$4-SUM($J$8:J28)),0)*(B29&lt;=Simulation!$F$24)</f>
        <v>0</v>
      </c>
      <c r="K29" s="108">
        <f>MAX(MIN(Paramètres!$E$5*Simulation!$C$8*Paramètres!$C$5,Paramètres!$E$5*Simulation!$C$8-SUM($K$8:K28)),0)*(B29&lt;=Simulation!$F$24)</f>
        <v>0</v>
      </c>
      <c r="L29" s="108">
        <v>0</v>
      </c>
      <c r="M29" s="108">
        <v>0</v>
      </c>
      <c r="N29" s="108">
        <f>MAX(MIN(Paramètres!$C$6*(Simulation!$C$10+Simulation!$C$11+Simulation!$C$12),(Simulation!$C$10+Simulation!$C$11+Simulation!$C$12)-SUM(N$8:N28)),0)*(B29&lt;=Simulation!$F$24)</f>
        <v>0</v>
      </c>
      <c r="O29" s="148">
        <f>25000*8/2*(1+Emprunteur!$F$7)^$B29</f>
        <v>124471.58597509214</v>
      </c>
      <c r="P29" s="165">
        <f>0*(1+Emprunteur!$F$8)^$B29</f>
        <v>0</v>
      </c>
      <c r="Q29" s="165">
        <f>0*(1+Emprunteur!$F$9)^$B29</f>
        <v>0</v>
      </c>
      <c r="R29" s="165">
        <f>0*(1+Emprunteur!$F$10)^$B29</f>
        <v>0</v>
      </c>
      <c r="S29" s="108">
        <f t="shared" si="5"/>
        <v>124471.58597509214</v>
      </c>
      <c r="T29" s="157">
        <v>1</v>
      </c>
      <c r="U29" s="157">
        <v>1</v>
      </c>
      <c r="V29" s="108">
        <f>(MAX(MIN(Paramètres!$B$9,S29/T29),0)*Paramètres!$C$9+MAX(MIN(Paramètres!$B$10,S29/T29)-Paramètres!$B$9,0)*Paramètres!$C$10+MAX(MIN(Paramètres!$B$11,S29/T29)-Paramètres!$B$10,0)*Paramètres!$C$11+MAX(MIN(Paramètres!$B$12,S29/T29)-Paramètres!$B$11,0)*Paramètres!$C$12+MAX(MIN(Paramètres!$B$13,S29/T29)-Paramètres!$B$12,0)*Paramètres!$C$13)*T29</f>
        <v>35984.360249787773</v>
      </c>
      <c r="W29" s="108">
        <f>(MAX(MIN(Paramètres!$B$9,S29/U29),0)*Paramètres!$C$9+MAX(MIN(Paramètres!$B$10,S29/U29)-Paramètres!$B$9,0)*Paramètres!$C$10+MAX(MIN(Paramètres!$B$11,S29/U29)-Paramètres!$B$10,0)*Paramètres!$C$11+MAX(MIN(Paramètres!$B$12,S29/U29)-Paramètres!$B$11,0)*Paramètres!$C$12+MAX(MIN(Paramètres!$B$13,S29/U29)-Paramètres!$B$12,0)*Paramètres!$C$13)*U29</f>
        <v>35984.360249787773</v>
      </c>
      <c r="X29" s="108">
        <f>MAX(V29,W29-Paramètres!$E$13*(T29-U29)*2)+MAX(P29,0)*Paramètres!$E$9+MAX(Q29,0)*Paramètres!$E$9+MAX(R29*Paramètres!$E$12,Paramètres!$E$11)</f>
        <v>37129.360249787773</v>
      </c>
      <c r="Y29" s="126">
        <f>(C29-SUM(D29:N29)+MIN(Y28,0))*(B29&lt;=Simulation!$F$24)</f>
        <v>0</v>
      </c>
      <c r="Z29" s="108">
        <f>(MAX(MIN(Paramètres!$B$9,(O29+MAX(P29,0)+MAX(Q29+Y29,0)+R29)/T29),0)*Paramètres!$C$9+MAX(MIN(Paramètres!$B$10,(O29+MAX(P29,0)+MAX(Q29+Y29,0)+R29)/T29)-Paramètres!$B$9,0)*Paramètres!$C$10+MAX(MIN(Paramètres!$B$11,(O29+MAX(P29,0)+MAX(Q29+Y29,0)+R29)/T29)-Paramètres!$B$10,0)*Paramètres!$C$11+MAX(MIN(Paramètres!$B$12,(O29+MAX(P29,0)+MAX(Q29+Y29,0)+R29)/T29)-Paramètres!$B$11,0)*Paramètres!$C$12+MAX(MIN(Paramètres!$B$13,(O29+MAX(P29,0)+MAX(Q29+Y29,0)+R29)/T29)-Paramètres!$B$12,0)*Paramètres!$C$13)*T29</f>
        <v>35984.360249787773</v>
      </c>
      <c r="AA29" s="108">
        <f>(MAX(MIN(Paramètres!$B$9,(O29+MAX(P29,0)+MAX(Q29+Y29,0)+R29)/U29),0)*Paramètres!$C$9+MAX(MIN(Paramètres!$B$10,(O29+MAX(P29,0)+MAX(Q29+Y29,0)+R29)/U29)-Paramètres!$B$9,0)*Paramètres!$C$10+MAX(MIN(Paramètres!$B$11,(O29+MAX(P29,0)+MAX(Q29+Y29,0)+R29)/U29)-Paramètres!$B$10,0)*Paramètres!$C$11+MAX(MIN(Paramètres!$B$12,(O29+MAX(P29,0)+MAX(Q29+Y29,0)+R29)/U29)-Paramètres!$B$11,0)*Paramètres!$C$12+MAX(MIN(Paramètres!$B$13,(O29+MAX(P29,0)+MAX(Q29+Y29,0)+R29)/U29)-Paramètres!$B$12,0)*Paramètres!$C$13)*U29</f>
        <v>35984.360249787773</v>
      </c>
      <c r="AB29" s="108">
        <f>MAX(Z29,AA29-Paramètres!$E$13*(T29-U29)*2)+MAX(P29,0)*Paramètres!$E$9+MAX(Q29+Y29,0)*Paramètres!$E$9+MAX(R29*Paramètres!$E$12,Paramètres!$E$11)</f>
        <v>37129.360249787773</v>
      </c>
      <c r="AC29" s="108">
        <f t="shared" si="6"/>
        <v>0</v>
      </c>
      <c r="AD29" s="149">
        <f t="shared" si="1"/>
        <v>0</v>
      </c>
      <c r="AE29" s="108">
        <f>(MAX(MIN(Paramètres!$B$9,(O29+MAX(P29,0)+MAX(Q29+AD29,0)+R29)/T29),0)*Paramètres!$C$9+MAX(MIN(Paramètres!$B$10,(O29+MAX(P29,0)+MAX(Q29+AD29,0)+R29)/T29)-Paramètres!$B$9,0)*Paramètres!$C$10+MAX(MIN(Paramètres!$B$11,(O29+MAX(P29,0)+MAX(Q29+AD29,0)+R29)/T29)-Paramètres!$B$10,0)*Paramètres!$C$11+MAX(MIN(Paramètres!$B$12,(O29+MAX(P29,0)+MAX(Q29+AD29,0)+R29)/T29)-Paramètres!$B$11,0)*Paramètres!$C$12+MAX(MIN(Paramètres!$B$13,(O29+MAX(P29,0)+MAX(Q29+AD29,0)+R29)/T29)-Paramètres!$B$12,0)*Paramètres!$C$13)*T29</f>
        <v>35984.360249787773</v>
      </c>
      <c r="AF29" s="108">
        <f>(MAX(MIN(Paramètres!$B$9,(O29+MAX(P29,0)+MAX(Q29+AD29,0)+R29)/U29),0)*Paramètres!$C$9+MAX(MIN(Paramètres!$B$10,(O29+MAX(P29,0)+MAX(Q29+AD29,0)+R29)/U29)-Paramètres!$B$9,0)*Paramètres!$C$10+MAX(MIN(Paramètres!$B$11,(O29+MAX(P29,0)+MAX(Q29+AD29,0)+R29)/U29)-Paramètres!$B$10,0)*Paramètres!$C$11+MAX(MIN(Paramètres!$B$12,(O29+MAX(P29,0)+MAX(Q29+AD29,0)+R29)/U29)-Paramètres!$B$11,0)*Paramètres!$C$12+MAX(MIN(Paramètres!$B$13,(O29+MAX(P29,0)+MAX(Q29+AD29,0)+R29)/U29)-Paramètres!$B$12,0)*Paramètres!$C$13)*U29</f>
        <v>35984.360249787773</v>
      </c>
      <c r="AG29" s="108">
        <f>MAX(AE29,AF29-Paramètres!$E$13*(T29-U29)*2)+MAX(P29,0)*Paramètres!$E$9+MAX(Q29+AD29,0)*Paramètres!$E$9+MAX(R29*Paramètres!$E$12,Paramètres!$E$11)</f>
        <v>37129.360249787773</v>
      </c>
      <c r="AH29" s="150">
        <f t="shared" si="7"/>
        <v>0</v>
      </c>
      <c r="AI29" s="149">
        <f t="shared" si="8"/>
        <v>0</v>
      </c>
      <c r="AJ29" s="108">
        <f>(MAX(MIN(Paramètres!$B$9,(O29+MAX(P29,0)+MAX(Q29+AI29,0)+R29)/T29),0)*Paramètres!$C$9+MAX(MIN(Paramètres!$B$10,(O29+MAX(P29,0)+MAX(Q29+AI29,0)+R29)/T29)-Paramètres!$B$9,0)*Paramètres!$C$10+MAX(MIN(Paramètres!$B$11,(O29+MAX(P29,0)+MAX(Q29+AI29,0)+R29)/T29)-Paramètres!$B$10,0)*Paramètres!$C$11+MAX(MIN(Paramètres!$B$12,(O29+MAX(P29,0)+MAX(Q29+AI29,0)+R29)/T29)-Paramètres!$B$11,0)*Paramètres!$C$12+MAX(MIN(Paramètres!$B$13,(O29+MAX(P29,0)+MAX(Q29+AI29,0)+R29)/T29)-Paramètres!$B$12,0)*Paramètres!$C$13)*T29</f>
        <v>35984.360249787773</v>
      </c>
      <c r="AK29" s="108">
        <f>(MAX(MIN(Paramètres!$B$9,(O29+MAX(P29,0)+MAX(Q29+AI29,0)+R29)/U29),0)*Paramètres!$C$9+MAX(MIN(Paramètres!$B$10,(O29+MAX(P29,0)+MAX(Q29+AI29,0)+R29)/U29)-Paramètres!$B$9,0)*Paramètres!$C$10+MAX(MIN(Paramètres!$B$11,(O29+MAX(P29,0)+MAX(Q29+AI29,0)+R29)/U29)-Paramètres!$B$10,0)*Paramètres!$C$11+MAX(MIN(Paramètres!$B$12,(O29+MAX(P29,0)+MAX(Q29+AI29,0)+R29)/U29)-Paramètres!$B$11,0)*Paramètres!$C$12+MAX(MIN(Paramètres!$B$13,(O29+MAX(P29,0)+MAX(Q29+AI29,0)+R29)/U29)-Paramètres!$B$12,0)*Paramètres!$C$13)*U29</f>
        <v>35984.360249787773</v>
      </c>
      <c r="AL29" s="108">
        <f>MAX(AJ29,AK29-Paramètres!$E$13*(T29-U29)*2)+MAX(P29,0)*Paramètres!$E$9+MAX(Q29+AI29,0)*Paramètres!$E$9+MAX(R29*Paramètres!$E$12,Paramètres!$E$11)</f>
        <v>37129.360249787773</v>
      </c>
      <c r="AM29" s="150">
        <f>MAX(AL29-11%/9*Simulation!$C$7*(B29&lt;=9),0)-X29</f>
        <v>0</v>
      </c>
      <c r="AN29" s="149">
        <f>MAX(MAX(C29-D29,0)-SUM(E29:H29),-MIN(SUM(O29:R29),Paramètres!$E$19+MAX(P29,0)))</f>
        <v>0</v>
      </c>
      <c r="AO29" s="108">
        <f t="shared" si="18"/>
        <v>0</v>
      </c>
      <c r="AP29" s="108">
        <f t="shared" si="22"/>
        <v>0</v>
      </c>
      <c r="AQ29" s="108">
        <f t="shared" si="9"/>
        <v>0</v>
      </c>
      <c r="AR29" s="108">
        <f t="shared" si="10"/>
        <v>0</v>
      </c>
      <c r="AS29" s="108">
        <f>(MAX(MIN(Paramètres!$B$9,(O29+P29+AQ29+MAX(Q29,0)+R29)/T29),0)*Paramètres!$C$9+MAX(MIN(Paramètres!$B$10,(O29+P29+AQ29+MAX(Q29,0)+R29)/T29)-Paramètres!$B$9,0)*Paramètres!$C$10+MAX(MIN(Paramètres!$B$11,(O29+P29+AQ29+MAX(Q29,0)+R29)/T29)-Paramètres!$B$10,0)*Paramètres!$C$11+MAX(MIN(Paramètres!$B$12,(O29+P29+AQ29+MAX(Q29,0)+R29)/T29)-Paramètres!$B$11,0)*Paramètres!$C$12+MAX(MIN(Paramètres!$B$13,(O29+P29+AQ29+MAX(Q29,0)+R29)/T29)-Paramètres!$B$12,0)*Paramètres!$C$13)*T29</f>
        <v>35984.360249787773</v>
      </c>
      <c r="AT29" s="108">
        <f>(MAX(MIN(Paramètres!$B$9,(O29+P29+AQ29+MAX(Q29,0)+R29)/U29),0)*Paramètres!$C$9+MAX(MIN(Paramètres!$B$10,(O29+P29+AQ29+MAX(Q29,0)+R29)/U29)-Paramètres!$B$9,0)*Paramètres!$C$10+MAX(MIN(Paramètres!$B$11,(O29+P29+AQ29+MAX(Q29,0)+R29)/U29)-Paramètres!$B$10,0)*Paramètres!$C$11+MAX(MIN(Paramètres!$B$12,(O29+P29+AQ29+MAX(Q29,0)+R29)/U29)-Paramètres!$B$11,0)*Paramètres!$C$12+MAX(MIN(Paramètres!$B$13,(O29+P29+AQ29+MAX(Q29,0)+R29)/U29)-Paramètres!$B$12,0)*Paramètres!$C$13)*U29</f>
        <v>35984.360249787773</v>
      </c>
      <c r="AU29" s="108">
        <f>MAX(AS29,AT29-Paramètres!$E$13*(T29-U29)*2)+MAX(P29+AQ29,0)*Paramètres!$E$9+MAX(Q29,0)*Paramètres!$E$9+MAX(R29*Paramètres!$E$12,Paramètres!$E$11)</f>
        <v>37129.360249787773</v>
      </c>
      <c r="AV29" s="150">
        <f t="shared" si="2"/>
        <v>0</v>
      </c>
      <c r="AW29" s="108">
        <f t="shared" si="3"/>
        <v>0</v>
      </c>
      <c r="AX29" s="108">
        <f>(MAX(MIN(Paramètres!$B$9,(O29+MAX(P29+AW29,0)+MAX(Q29,0)+R29)/T29),0)*Paramètres!$C$9+MAX(MIN(Paramètres!$B$10,(O29+MAX(P29+AW29,0)+MAX(Q29,0)+R29)/T29)-Paramètres!$B$9,0)*Paramètres!$C$10+MAX(MIN(Paramètres!$B$11,(O29+MAX(P29+AW29,0)+MAX(Q29,0)+R29)/T29)-Paramètres!$B$10,0)*Paramètres!$C$11+MAX(MIN(Paramètres!$B$12,(O29+MAX(P29+AW29,0)+MAX(Q29,0)+R29)/T29)-Paramètres!$B$11,0)*Paramètres!$C$12+MAX(MIN(Paramètres!$B$13,(O29+MAX(P29+AW29,0)+MAX(Q29,0)+R29)/T29)-Paramètres!$B$12,0)*Paramètres!$C$13)*T29</f>
        <v>35984.360249787773</v>
      </c>
      <c r="AY29" s="108">
        <f>(MAX(MIN(Paramètres!$B$9,(O29+MAX(P29+AW29,0)+MAX(Q29,0)+R29)/U29),0)*Paramètres!$C$9+MAX(MIN(Paramètres!$B$10,(O29+MAX(P29+AW29,0)+MAX(Q29,0)+R29)/U29)-Paramètres!$B$9,0)*Paramètres!$C$10+MAX(MIN(Paramètres!$B$11,(O29+MAX(P29+AW29,0)+MAX(Q29,0)+R29)/U29)-Paramètres!$B$10,0)*Paramètres!$C$11+MAX(MIN(Paramètres!$B$12,(O29+MAX(P29+AW29,0)+MAX(Q29,0)+R29)/U29)-Paramètres!$B$11,0)*Paramètres!$C$12+MAX(MIN(Paramètres!$B$13,(O29+MAX(P29+AW29,0)+MAX(Q29,0)+R29)/U29)-Paramètres!$B$12,0)*Paramètres!$C$13)*U29</f>
        <v>35984.360249787773</v>
      </c>
      <c r="AZ29" s="108">
        <f>MAX(AX29,AY29-Paramètres!$E$13*(T29-U29)*2)+MAX(P29+AW29,0)*Paramètres!$E$9+MAX(Q29,0)*Paramètres!$E$9+MAX(R29*Paramètres!$E$12,Paramètres!$E$11)</f>
        <v>37129.360249787773</v>
      </c>
      <c r="BA29" s="108">
        <f t="shared" si="4"/>
        <v>0</v>
      </c>
      <c r="BB29" s="149">
        <f>MAX(MAX(C29-D29,0)-SUM(E29:H29),-MIN(SUM(O29:R29),Paramètres!$E$19+MAX(P29,0)))</f>
        <v>0</v>
      </c>
      <c r="BC29" s="108">
        <f t="shared" si="20"/>
        <v>0</v>
      </c>
      <c r="BD29" s="108">
        <f t="shared" si="23"/>
        <v>0</v>
      </c>
      <c r="BE29" s="108">
        <f t="shared" si="11"/>
        <v>0</v>
      </c>
      <c r="BF29" s="108">
        <f t="shared" si="12"/>
        <v>0</v>
      </c>
      <c r="BG29" s="108">
        <f>(MAX(MIN(Paramètres!$B$9,(O29+P29+BE29+MAX(Q29,0)+R29)/T29),0)*Paramètres!$C$9+MAX(MIN(Paramètres!$B$10,(O29+P29+BE29+MAX(Q29,0)+R29)/T29)-Paramètres!$B$9,0)*Paramètres!$C$10+MAX(MIN(Paramètres!$B$11,(O29+P29+BE29+MAX(Q29,0)+R29)/T29)-Paramètres!$B$10,0)*Paramètres!$C$11+MAX(MIN(Paramètres!$B$12,(O29+P29+BE29+MAX(Q29,0)+R29)/T29)-Paramètres!$B$11,0)*Paramètres!$C$12+MAX(MIN(Paramètres!$B$13,(O29+P29+BE29+MAX(Q29,0)+R29)/T29)-Paramètres!$B$12,0)*Paramètres!$C$13)*T29</f>
        <v>35984.360249787773</v>
      </c>
      <c r="BH29" s="108">
        <f>(MAX(MIN(Paramètres!$B$9,(O29+P29+BE29+MAX(Q29,0)+R29)/U29),0)*Paramètres!$C$9+MAX(MIN(Paramètres!$B$10,(O29+P29+BE29+MAX(Q29,0)+R29)/U29)-Paramètres!$B$9,0)*Paramètres!$C$10+MAX(MIN(Paramètres!$B$11,(O29+P29+BE29+MAX(Q29,0)+R29)/U29)-Paramètres!$B$10,0)*Paramètres!$C$11+MAX(MIN(Paramètres!$B$12,(O29+P29+BE29+MAX(Q29,0)+R29)/U29)-Paramètres!$B$11,0)*Paramètres!$C$12+MAX(MIN(Paramètres!$B$13,(O29+P29+BE29+MAX(Q29,0)+R29)/U29)-Paramètres!$B$12,0)*Paramètres!$C$13)*U29</f>
        <v>35984.360249787773</v>
      </c>
      <c r="BI29" s="108">
        <f>MAX(BG29,BH29-Paramètres!$E$13*(T29-U29)*2)+MAX(P29+BE29,0)*Paramètres!$E$9+MAX(Q29,0)*Paramètres!$E$9+MAX(R29*Paramètres!$E$12,Paramètres!$E$11)</f>
        <v>37129.360249787773</v>
      </c>
      <c r="BJ29" s="150">
        <f>MAX(BI29-IFERROR(VLOOKUP(B29,Paramètres!$B$28:$C$39,2,FALSE),0)*MIN(MIN((Simulation!$C$7+Simulation!$C$12+Simulation!$C$8+Simulation!$C$10)/Simulation!$C$28,Paramètres!$C$26)*Simulation!$C$28,Paramètres!$C$25),0)-X29</f>
        <v>0</v>
      </c>
      <c r="BK29" s="108">
        <f t="shared" si="13"/>
        <v>0</v>
      </c>
      <c r="BL29" s="108">
        <f>(MAX(MIN(Paramètres!$B$9,(O29+MAX(P29+BK29,0)+MAX(Q29,0)+R29)/T29),0)*Paramètres!$C$9+MAX(MIN(Paramètres!$B$10,(O29+MAX(P29+BK29,0)+MAX(Q29,0)+R29)/T29)-Paramètres!$B$9,0)*Paramètres!$C$10+MAX(MIN(Paramètres!$B$11,(O29+MAX(P29+BK29,0)+MAX(Q29,0)+R29)/T29)-Paramètres!$B$10,0)*Paramètres!$C$11+MAX(MIN(Paramètres!$B$12,(O29+MAX(P29+BK29,0)+MAX(Q29,0)+R29)/T29)-Paramètres!$B$11,0)*Paramètres!$C$12+MAX(MIN(Paramètres!$B$13,(O29+MAX(P29+BK29,0)+MAX(Q29,0)+R29)/T29)-Paramètres!$B$12,0)*Paramètres!$C$13)*T29</f>
        <v>35984.360249787773</v>
      </c>
      <c r="BM29" s="108">
        <f>(MAX(MIN(Paramètres!$B$9,(O29+MAX(P29+BK29,0)+MAX(Q29,0)+R29)/U29),0)*Paramètres!$C$9+MAX(MIN(Paramètres!$B$10,(O29+MAX(P29+BK29,0)+MAX(Q29,0)+R29)/U29)-Paramètres!$B$9,0)*Paramètres!$C$10+MAX(MIN(Paramètres!$B$11,(O29+MAX(P29+BK29,0)+MAX(Q29,0)+R29)/U29)-Paramètres!$B$10,0)*Paramètres!$C$11+MAX(MIN(Paramètres!$B$12,(O29+MAX(P29+BK29,0)+MAX(Q29,0)+R29)/U29)-Paramètres!$B$11,0)*Paramètres!$C$12+MAX(MIN(Paramètres!$B$13,(O29+MAX(P29+BK29,0)+MAX(Q29,0)+R29)/U29)-Paramètres!$B$12,0)*Paramètres!$C$13)*U29</f>
        <v>35984.360249787773</v>
      </c>
      <c r="BN29" s="108">
        <f>MAX(BL29,BM29-Paramètres!$E$13*(T29-U29)*2)+MAX(P29+BK29,0)*Paramètres!$E$9+MAX(Q29,0)*Paramètres!$E$9+MAX(R29*Paramètres!$E$12,Paramètres!$E$11)</f>
        <v>37129.360249787773</v>
      </c>
      <c r="BO29" s="108">
        <f>MAX(BN29-IFERROR(VLOOKUP(B29,Paramètres!$B$28:$C$39,2,FALSE),0)*MIN(MIN((Simulation!$C$7+Simulation!$C$12+Simulation!$C$8+Simulation!$C$10)/Simulation!$C$28,Paramètres!$C$26)*Simulation!$C$28,Paramètres!$C$25),0)-X29</f>
        <v>0</v>
      </c>
      <c r="BP29" s="126">
        <f t="shared" si="14"/>
        <v>0</v>
      </c>
      <c r="BQ29" s="108">
        <f t="shared" si="15"/>
        <v>0</v>
      </c>
      <c r="BR29" s="108">
        <f t="shared" si="21"/>
        <v>0</v>
      </c>
      <c r="BS29" s="108">
        <f t="shared" si="19"/>
        <v>0</v>
      </c>
      <c r="BT29" s="108">
        <f t="shared" si="16"/>
        <v>0</v>
      </c>
      <c r="BU29" s="108">
        <f>(MAX(MIN(Paramètres!$B$9,(O29+MAX(P29,0)+MAX(Q29,0)+R29+BS29)/T29),0)*Paramètres!$C$9+MAX(MIN(Paramètres!$B$10,(O29+MAX(P29,0)+MAX(Q29,0)+R29+BS29)/T29)-Paramètres!$B$9,0)*Paramètres!$C$10+MAX(MIN(Paramètres!$B$11,(O29+MAX(P29,0)+MAX(Q29,0)+R29+BS29)/T29)-Paramètres!$B$10,0)*Paramètres!$C$11+MAX(MIN(Paramètres!$B$12,(O29+MAX(P29,0)+MAX(Q29,0)+R29+BS29)/T29)-Paramètres!$B$11,0)*Paramètres!$C$12+MAX(MIN(Paramètres!$B$13,(O29+MAX(P29,0)+MAX(Q29,0)+R29+BS29)/T29)-Paramètres!$B$12,0)*Paramètres!$C$13)*T29</f>
        <v>35984.360249787773</v>
      </c>
      <c r="BV29" s="108">
        <f>(MAX(MIN(Paramètres!$B$9,(O29+MAX(P29,0)+MAX(Q29,0)+R29+BS29)/U29),0)*Paramètres!$C$9+MAX(MIN(Paramètres!$B$10,(O29+MAX(P29,0)+MAX(Q29,0)+R29+BS29)/U29)-Paramètres!$B$9,0)*Paramètres!$C$10+MAX(MIN(Paramètres!$B$11,(O29+MAX(P29,0)+MAX(Q29,0)+R29+BS29)/U29)-Paramètres!$B$10,0)*Paramètres!$C$11+MAX(MIN(Paramètres!$B$12,(O29+MAX(P29,0)+MAX(Q29,0)+R29+BS29)/U29)-Paramètres!$B$11,0)*Paramètres!$C$12+MAX(MIN(Paramètres!$B$13,(O29+MAX(P29,0)+MAX(Q29,0)+R29+BS29)/U29)-Paramètres!$B$12,0)*Paramètres!$C$13)*U29</f>
        <v>35984.360249787773</v>
      </c>
      <c r="BW29" s="108">
        <f>MAX(BU29,BV29-Paramètres!$E$13*(T29-U29)*2)+MAX(P29,0)*Paramètres!$E$9+MAX(Q29,0)*Paramètres!$E$9+MAX((R29+BS29)*Paramètres!$E$12,Paramètres!$E$11)</f>
        <v>37129.360249787773</v>
      </c>
      <c r="BX29" s="108">
        <f t="shared" si="17"/>
        <v>0</v>
      </c>
      <c r="BY29" s="149">
        <f>(C29-SUM(D29:N29)+MIN(BY28,0))*(B29&lt;=Simulation!$F$24)</f>
        <v>0</v>
      </c>
      <c r="BZ29" s="108">
        <f>(Simulation!$F$22-(Simulation!$C$13-SUM($I$8:$N$37)))*(B29=Simulation!$F$24)</f>
        <v>0</v>
      </c>
      <c r="CA29" s="108">
        <f>MAX(MIN(BY29+BZ29,Paramètres!$B$17)*Paramètres!$C$17+MAX(MIN(BY29+BZ29,Paramètres!$B$18)-Paramètres!$B$17,0)*Paramètres!$C$18+MAX(MIN(BY29+BZ29,Paramètres!$B$19)-Paramètres!$B$18,0)*Paramètres!$C$19,0)</f>
        <v>0</v>
      </c>
      <c r="CB29" s="150">
        <f>MAX(MIN(BY29,Paramètres!$B$17)*Paramètres!$C$17+MAX(MIN(BY29,Paramètres!$B$18)-Paramètres!$B$17,0)*Paramètres!$C$18+MAX(MIN(BY29,Paramètres!$B$19)-Paramètres!$B$18,0)*Paramètres!$C$19,0)</f>
        <v>0</v>
      </c>
      <c r="CC29" s="108">
        <f>(C29-SUM(D29:N29)+MIN(CC28,0))*(B29&lt;=Simulation!$F$24)</f>
        <v>0</v>
      </c>
      <c r="CD29" s="108">
        <f>(Simulation!$F$22-(Simulation!$C$13-SUM($I$8:$N$37)))*(B29=Simulation!$F$24)</f>
        <v>0</v>
      </c>
      <c r="CE29" s="108">
        <f>MAX(MIN(CC29+CD29,Paramètres!$B$17)*Paramètres!$C$17+MAX(MIN(CC29+CD29,Paramètres!$B$18)-Paramètres!$B$17,0)*Paramètres!$C$18+MAX(MIN(CC29+CD29,Paramètres!$B$19)-Paramètres!$B$18,0)*Paramètres!$C$19,0)</f>
        <v>0</v>
      </c>
      <c r="CF29" s="108">
        <f>MAX(MIN(CC29,Paramètres!$B$17)*Paramètres!$C$17+MAX(MIN(CC29,Paramètres!$B$18)-Paramètres!$B$17,0)*Paramètres!$C$18+MAX(MIN(CC29,Paramètres!$B$19)-Paramètres!$B$18,0)*Paramètres!$C$19,0)</f>
        <v>0</v>
      </c>
      <c r="CG29" s="108">
        <f>MAX(CC29+CD29-CF29,0)*(1-Paramètres!$E$17)*Paramètres!$E$18</f>
        <v>0</v>
      </c>
      <c r="CH29" s="54">
        <f>MAX(CC29-CF29,0)*(1-Paramètres!$E$17)*Paramètres!$E$18</f>
        <v>0</v>
      </c>
      <c r="CI29" s="127">
        <f ca="1">OFFSET($AC29,0,VLOOKUP(Simulation!$C$27,Simulation!$Q$5:$R$14,2,FALSE))</f>
        <v>0</v>
      </c>
      <c r="CK29" s="167"/>
      <c r="CL29" s="167"/>
      <c r="CM29" s="167"/>
      <c r="CN29" s="167"/>
      <c r="CO29" s="167"/>
      <c r="CP29" s="167"/>
      <c r="CQ29" s="167"/>
      <c r="CR29" s="167"/>
      <c r="CS29" s="167"/>
      <c r="CT29" s="167"/>
      <c r="CU29" s="167"/>
      <c r="CV29" s="167"/>
    </row>
    <row r="30" spans="2:100" x14ac:dyDescent="0.2">
      <c r="B30" s="40">
        <f t="shared" si="0"/>
        <v>23</v>
      </c>
      <c r="C30" s="143">
        <f>SUMPRODUCT('Détail trésorerie'!$H$8:$H$367*('Détail trésorerie'!$B$8:$B$367&gt;$B29*12)*('Détail trésorerie'!$B$8:$B$367&lt;=$B30*12))</f>
        <v>0</v>
      </c>
      <c r="D30" s="143">
        <f>SUMPRODUCT('Détail trésorerie'!$E$8:$E$367*('Détail trésorerie'!$B$8:$B$367&gt;$B29*12)*('Détail trésorerie'!$B$8:$B$367&lt;=$B30*12))</f>
        <v>0</v>
      </c>
      <c r="E30" s="144">
        <f>SUMPRODUCT('Détail trésorerie'!$J$8:$J$367*('Détail trésorerie'!$B$8:$B$367&gt;$B29*12)*('Détail trésorerie'!$B$8:$B$367&lt;=$B30*12))</f>
        <v>0</v>
      </c>
      <c r="F30" s="144">
        <f>SUMPRODUCT('Détail trésorerie'!$K$8:$K$367*('Détail trésorerie'!$B$8:$B$367&gt;$B29*12)*('Détail trésorerie'!$B$8:$B$367&lt;=$B30*12))</f>
        <v>0</v>
      </c>
      <c r="G30" s="144">
        <f>SUMPRODUCT('Détail trésorerie'!$L$8:$L$367*('Détail trésorerie'!$B$8:$B$367&gt;$B29*12)*('Détail trésorerie'!$B$8:$B$367&lt;=$B30*12))</f>
        <v>0</v>
      </c>
      <c r="H30" s="145">
        <f>SUMPRODUCT('Détail trésorerie'!$M$8:$M$367*('Détail trésorerie'!$B$8:$B$367&gt;$B29*12)*('Détail trésorerie'!$B$8:$B$367&lt;=$B30*12))</f>
        <v>0</v>
      </c>
      <c r="I30" s="126">
        <f>MAX(MIN(Paramètres!$E$3*Simulation!$C$7*Paramètres!$C$3,Simulation!$C$7*Paramètres!$E$3-SUM(I$8:$I29)),0)*(B30&lt;=Simulation!$F$24)</f>
        <v>0</v>
      </c>
      <c r="J30" s="108">
        <f>MAX(MIN(Paramètres!$E$4*Simulation!$C$7*Paramètres!$C$4,Simulation!$C$7*Paramètres!$E$4-SUM($J$8:J29)),0)*(B30&lt;=Simulation!$F$24)</f>
        <v>0</v>
      </c>
      <c r="K30" s="108">
        <f>MAX(MIN(Paramètres!$E$5*Simulation!$C$8*Paramètres!$C$5,Paramètres!$E$5*Simulation!$C$8-SUM($K$8:K29)),0)*(B30&lt;=Simulation!$F$24)</f>
        <v>0</v>
      </c>
      <c r="L30" s="108">
        <v>0</v>
      </c>
      <c r="M30" s="108">
        <v>0</v>
      </c>
      <c r="N30" s="108">
        <f>MAX(MIN(Paramètres!$C$6*(Simulation!$C$10+Simulation!$C$11+Simulation!$C$12),(Simulation!$C$10+Simulation!$C$11+Simulation!$C$12)-SUM(N$8:N29)),0)*(B30&lt;=Simulation!$F$24)</f>
        <v>0</v>
      </c>
      <c r="O30" s="148">
        <f>25000*8/2*(1+Emprunteur!$F$7)^$B30</f>
        <v>125716.30183484303</v>
      </c>
      <c r="P30" s="165">
        <f>0*(1+Emprunteur!$F$8)^$B30</f>
        <v>0</v>
      </c>
      <c r="Q30" s="165">
        <f>0*(1+Emprunteur!$F$9)^$B30</f>
        <v>0</v>
      </c>
      <c r="R30" s="165">
        <f>0*(1+Emprunteur!$F$10)^$B30</f>
        <v>0</v>
      </c>
      <c r="S30" s="108">
        <f t="shared" si="5"/>
        <v>125716.30183484303</v>
      </c>
      <c r="T30" s="157">
        <v>1</v>
      </c>
      <c r="U30" s="157">
        <v>1</v>
      </c>
      <c r="V30" s="108">
        <f>(MAX(MIN(Paramètres!$B$9,S30/T30),0)*Paramètres!$C$9+MAX(MIN(Paramètres!$B$10,S30/T30)-Paramètres!$B$9,0)*Paramètres!$C$10+MAX(MIN(Paramètres!$B$11,S30/T30)-Paramètres!$B$10,0)*Paramètres!$C$11+MAX(MIN(Paramètres!$B$12,S30/T30)-Paramètres!$B$11,0)*Paramètres!$C$12+MAX(MIN(Paramètres!$B$13,S30/T30)-Paramètres!$B$12,0)*Paramètres!$C$13)*T30</f>
        <v>36494.693752285646</v>
      </c>
      <c r="W30" s="108">
        <f>(MAX(MIN(Paramètres!$B$9,S30/U30),0)*Paramètres!$C$9+MAX(MIN(Paramètres!$B$10,S30/U30)-Paramètres!$B$9,0)*Paramètres!$C$10+MAX(MIN(Paramètres!$B$11,S30/U30)-Paramètres!$B$10,0)*Paramètres!$C$11+MAX(MIN(Paramètres!$B$12,S30/U30)-Paramètres!$B$11,0)*Paramètres!$C$12+MAX(MIN(Paramètres!$B$13,S30/U30)-Paramètres!$B$12,0)*Paramètres!$C$13)*U30</f>
        <v>36494.693752285646</v>
      </c>
      <c r="X30" s="108">
        <f>MAX(V30,W30-Paramètres!$E$13*(T30-U30)*2)+MAX(P30,0)*Paramètres!$E$9+MAX(Q30,0)*Paramètres!$E$9+MAX(R30*Paramètres!$E$12,Paramètres!$E$11)</f>
        <v>37639.693752285646</v>
      </c>
      <c r="Y30" s="126">
        <f>(C30-SUM(D30:N30)+MIN(Y29,0))*(B30&lt;=Simulation!$F$24)</f>
        <v>0</v>
      </c>
      <c r="Z30" s="108">
        <f>(MAX(MIN(Paramètres!$B$9,(O30+MAX(P30,0)+MAX(Q30+Y30,0)+R30)/T30),0)*Paramètres!$C$9+MAX(MIN(Paramètres!$B$10,(O30+MAX(P30,0)+MAX(Q30+Y30,0)+R30)/T30)-Paramètres!$B$9,0)*Paramètres!$C$10+MAX(MIN(Paramètres!$B$11,(O30+MAX(P30,0)+MAX(Q30+Y30,0)+R30)/T30)-Paramètres!$B$10,0)*Paramètres!$C$11+MAX(MIN(Paramètres!$B$12,(O30+MAX(P30,0)+MAX(Q30+Y30,0)+R30)/T30)-Paramètres!$B$11,0)*Paramètres!$C$12+MAX(MIN(Paramètres!$B$13,(O30+MAX(P30,0)+MAX(Q30+Y30,0)+R30)/T30)-Paramètres!$B$12,0)*Paramètres!$C$13)*T30</f>
        <v>36494.693752285646</v>
      </c>
      <c r="AA30" s="108">
        <f>(MAX(MIN(Paramètres!$B$9,(O30+MAX(P30,0)+MAX(Q30+Y30,0)+R30)/U30),0)*Paramètres!$C$9+MAX(MIN(Paramètres!$B$10,(O30+MAX(P30,0)+MAX(Q30+Y30,0)+R30)/U30)-Paramètres!$B$9,0)*Paramètres!$C$10+MAX(MIN(Paramètres!$B$11,(O30+MAX(P30,0)+MAX(Q30+Y30,0)+R30)/U30)-Paramètres!$B$10,0)*Paramètres!$C$11+MAX(MIN(Paramètres!$B$12,(O30+MAX(P30,0)+MAX(Q30+Y30,0)+R30)/U30)-Paramètres!$B$11,0)*Paramètres!$C$12+MAX(MIN(Paramètres!$B$13,(O30+MAX(P30,0)+MAX(Q30+Y30,0)+R30)/U30)-Paramètres!$B$12,0)*Paramètres!$C$13)*U30</f>
        <v>36494.693752285646</v>
      </c>
      <c r="AB30" s="108">
        <f>MAX(Z30,AA30-Paramètres!$E$13*(T30-U30)*2)+MAX(P30,0)*Paramètres!$E$9+MAX(Q30+Y30,0)*Paramètres!$E$9+MAX(R30*Paramètres!$E$12,Paramètres!$E$11)</f>
        <v>37639.693752285646</v>
      </c>
      <c r="AC30" s="108">
        <f t="shared" si="6"/>
        <v>0</v>
      </c>
      <c r="AD30" s="149">
        <f t="shared" si="1"/>
        <v>0</v>
      </c>
      <c r="AE30" s="108">
        <f>(MAX(MIN(Paramètres!$B$9,(O30+MAX(P30,0)+MAX(Q30+AD30,0)+R30)/T30),0)*Paramètres!$C$9+MAX(MIN(Paramètres!$B$10,(O30+MAX(P30,0)+MAX(Q30+AD30,0)+R30)/T30)-Paramètres!$B$9,0)*Paramètres!$C$10+MAX(MIN(Paramètres!$B$11,(O30+MAX(P30,0)+MAX(Q30+AD30,0)+R30)/T30)-Paramètres!$B$10,0)*Paramètres!$C$11+MAX(MIN(Paramètres!$B$12,(O30+MAX(P30,0)+MAX(Q30+AD30,0)+R30)/T30)-Paramètres!$B$11,0)*Paramètres!$C$12+MAX(MIN(Paramètres!$B$13,(O30+MAX(P30,0)+MAX(Q30+AD30,0)+R30)/T30)-Paramètres!$B$12,0)*Paramètres!$C$13)*T30</f>
        <v>36494.693752285646</v>
      </c>
      <c r="AF30" s="108">
        <f>(MAX(MIN(Paramètres!$B$9,(O30+MAX(P30,0)+MAX(Q30+AD30,0)+R30)/U30),0)*Paramètres!$C$9+MAX(MIN(Paramètres!$B$10,(O30+MAX(P30,0)+MAX(Q30+AD30,0)+R30)/U30)-Paramètres!$B$9,0)*Paramètres!$C$10+MAX(MIN(Paramètres!$B$11,(O30+MAX(P30,0)+MAX(Q30+AD30,0)+R30)/U30)-Paramètres!$B$10,0)*Paramètres!$C$11+MAX(MIN(Paramètres!$B$12,(O30+MAX(P30,0)+MAX(Q30+AD30,0)+R30)/U30)-Paramètres!$B$11,0)*Paramètres!$C$12+MAX(MIN(Paramètres!$B$13,(O30+MAX(P30,0)+MAX(Q30+AD30,0)+R30)/U30)-Paramètres!$B$12,0)*Paramètres!$C$13)*U30</f>
        <v>36494.693752285646</v>
      </c>
      <c r="AG30" s="108">
        <f>MAX(AE30,AF30-Paramètres!$E$13*(T30-U30)*2)+MAX(P30,0)*Paramètres!$E$9+MAX(Q30+AD30,0)*Paramètres!$E$9+MAX(R30*Paramètres!$E$12,Paramètres!$E$11)</f>
        <v>37639.693752285646</v>
      </c>
      <c r="AH30" s="150">
        <f t="shared" si="7"/>
        <v>0</v>
      </c>
      <c r="AI30" s="149">
        <f t="shared" si="8"/>
        <v>0</v>
      </c>
      <c r="AJ30" s="108">
        <f>(MAX(MIN(Paramètres!$B$9,(O30+MAX(P30,0)+MAX(Q30+AI30,0)+R30)/T30),0)*Paramètres!$C$9+MAX(MIN(Paramètres!$B$10,(O30+MAX(P30,0)+MAX(Q30+AI30,0)+R30)/T30)-Paramètres!$B$9,0)*Paramètres!$C$10+MAX(MIN(Paramètres!$B$11,(O30+MAX(P30,0)+MAX(Q30+AI30,0)+R30)/T30)-Paramètres!$B$10,0)*Paramètres!$C$11+MAX(MIN(Paramètres!$B$12,(O30+MAX(P30,0)+MAX(Q30+AI30,0)+R30)/T30)-Paramètres!$B$11,0)*Paramètres!$C$12+MAX(MIN(Paramètres!$B$13,(O30+MAX(P30,0)+MAX(Q30+AI30,0)+R30)/T30)-Paramètres!$B$12,0)*Paramètres!$C$13)*T30</f>
        <v>36494.693752285646</v>
      </c>
      <c r="AK30" s="108">
        <f>(MAX(MIN(Paramètres!$B$9,(O30+MAX(P30,0)+MAX(Q30+AI30,0)+R30)/U30),0)*Paramètres!$C$9+MAX(MIN(Paramètres!$B$10,(O30+MAX(P30,0)+MAX(Q30+AI30,0)+R30)/U30)-Paramètres!$B$9,0)*Paramètres!$C$10+MAX(MIN(Paramètres!$B$11,(O30+MAX(P30,0)+MAX(Q30+AI30,0)+R30)/U30)-Paramètres!$B$10,0)*Paramètres!$C$11+MAX(MIN(Paramètres!$B$12,(O30+MAX(P30,0)+MAX(Q30+AI30,0)+R30)/U30)-Paramètres!$B$11,0)*Paramètres!$C$12+MAX(MIN(Paramètres!$B$13,(O30+MAX(P30,0)+MAX(Q30+AI30,0)+R30)/U30)-Paramètres!$B$12,0)*Paramètres!$C$13)*U30</f>
        <v>36494.693752285646</v>
      </c>
      <c r="AL30" s="108">
        <f>MAX(AJ30,AK30-Paramètres!$E$13*(T30-U30)*2)+MAX(P30,0)*Paramètres!$E$9+MAX(Q30+AI30,0)*Paramètres!$E$9+MAX(R30*Paramètres!$E$12,Paramètres!$E$11)</f>
        <v>37639.693752285646</v>
      </c>
      <c r="AM30" s="150">
        <f>MAX(AL30-11%/9*Simulation!$C$7*(B30&lt;=9),0)-X30</f>
        <v>0</v>
      </c>
      <c r="AN30" s="149">
        <f>MAX(MAX(C30-D30,0)-SUM(E30:H30),-MIN(SUM(O30:R30),Paramètres!$E$19+MAX(P30,0)))</f>
        <v>0</v>
      </c>
      <c r="AO30" s="108">
        <f t="shared" si="18"/>
        <v>0</v>
      </c>
      <c r="AP30" s="108">
        <f t="shared" si="22"/>
        <v>0</v>
      </c>
      <c r="AQ30" s="108">
        <f t="shared" si="9"/>
        <v>0</v>
      </c>
      <c r="AR30" s="108">
        <f t="shared" si="10"/>
        <v>0</v>
      </c>
      <c r="AS30" s="108">
        <f>(MAX(MIN(Paramètres!$B$9,(O30+P30+AQ30+MAX(Q30,0)+R30)/T30),0)*Paramètres!$C$9+MAX(MIN(Paramètres!$B$10,(O30+P30+AQ30+MAX(Q30,0)+R30)/T30)-Paramètres!$B$9,0)*Paramètres!$C$10+MAX(MIN(Paramètres!$B$11,(O30+P30+AQ30+MAX(Q30,0)+R30)/T30)-Paramètres!$B$10,0)*Paramètres!$C$11+MAX(MIN(Paramètres!$B$12,(O30+P30+AQ30+MAX(Q30,0)+R30)/T30)-Paramètres!$B$11,0)*Paramètres!$C$12+MAX(MIN(Paramètres!$B$13,(O30+P30+AQ30+MAX(Q30,0)+R30)/T30)-Paramètres!$B$12,0)*Paramètres!$C$13)*T30</f>
        <v>36494.693752285646</v>
      </c>
      <c r="AT30" s="108">
        <f>(MAX(MIN(Paramètres!$B$9,(O30+P30+AQ30+MAX(Q30,0)+R30)/U30),0)*Paramètres!$C$9+MAX(MIN(Paramètres!$B$10,(O30+P30+AQ30+MAX(Q30,0)+R30)/U30)-Paramètres!$B$9,0)*Paramètres!$C$10+MAX(MIN(Paramètres!$B$11,(O30+P30+AQ30+MAX(Q30,0)+R30)/U30)-Paramètres!$B$10,0)*Paramètres!$C$11+MAX(MIN(Paramètres!$B$12,(O30+P30+AQ30+MAX(Q30,0)+R30)/U30)-Paramètres!$B$11,0)*Paramètres!$C$12+MAX(MIN(Paramètres!$B$13,(O30+P30+AQ30+MAX(Q30,0)+R30)/U30)-Paramètres!$B$12,0)*Paramètres!$C$13)*U30</f>
        <v>36494.693752285646</v>
      </c>
      <c r="AU30" s="108">
        <f>MAX(AS30,AT30-Paramètres!$E$13*(T30-U30)*2)+MAX(P30+AQ30,0)*Paramètres!$E$9+MAX(Q30,0)*Paramètres!$E$9+MAX(R30*Paramètres!$E$12,Paramètres!$E$11)</f>
        <v>37639.693752285646</v>
      </c>
      <c r="AV30" s="150">
        <f t="shared" si="2"/>
        <v>0</v>
      </c>
      <c r="AW30" s="108">
        <f t="shared" si="3"/>
        <v>0</v>
      </c>
      <c r="AX30" s="108">
        <f>(MAX(MIN(Paramètres!$B$9,(O30+MAX(P30+AW30,0)+MAX(Q30,0)+R30)/T30),0)*Paramètres!$C$9+MAX(MIN(Paramètres!$B$10,(O30+MAX(P30+AW30,0)+MAX(Q30,0)+R30)/T30)-Paramètres!$B$9,0)*Paramètres!$C$10+MAX(MIN(Paramètres!$B$11,(O30+MAX(P30+AW30,0)+MAX(Q30,0)+R30)/T30)-Paramètres!$B$10,0)*Paramètres!$C$11+MAX(MIN(Paramètres!$B$12,(O30+MAX(P30+AW30,0)+MAX(Q30,0)+R30)/T30)-Paramètres!$B$11,0)*Paramètres!$C$12+MAX(MIN(Paramètres!$B$13,(O30+MAX(P30+AW30,0)+MAX(Q30,0)+R30)/T30)-Paramètres!$B$12,0)*Paramètres!$C$13)*T30</f>
        <v>36494.693752285646</v>
      </c>
      <c r="AY30" s="108">
        <f>(MAX(MIN(Paramètres!$B$9,(O30+MAX(P30+AW30,0)+MAX(Q30,0)+R30)/U30),0)*Paramètres!$C$9+MAX(MIN(Paramètres!$B$10,(O30+MAX(P30+AW30,0)+MAX(Q30,0)+R30)/U30)-Paramètres!$B$9,0)*Paramètres!$C$10+MAX(MIN(Paramètres!$B$11,(O30+MAX(P30+AW30,0)+MAX(Q30,0)+R30)/U30)-Paramètres!$B$10,0)*Paramètres!$C$11+MAX(MIN(Paramètres!$B$12,(O30+MAX(P30+AW30,0)+MAX(Q30,0)+R30)/U30)-Paramètres!$B$11,0)*Paramètres!$C$12+MAX(MIN(Paramètres!$B$13,(O30+MAX(P30+AW30,0)+MAX(Q30,0)+R30)/U30)-Paramètres!$B$12,0)*Paramètres!$C$13)*U30</f>
        <v>36494.693752285646</v>
      </c>
      <c r="AZ30" s="108">
        <f>MAX(AX30,AY30-Paramètres!$E$13*(T30-U30)*2)+MAX(P30+AW30,0)*Paramètres!$E$9+MAX(Q30,0)*Paramètres!$E$9+MAX(R30*Paramètres!$E$12,Paramètres!$E$11)</f>
        <v>37639.693752285646</v>
      </c>
      <c r="BA30" s="108">
        <f t="shared" si="4"/>
        <v>0</v>
      </c>
      <c r="BB30" s="149">
        <f>MAX(MAX(C30-D30,0)-SUM(E30:H30),-MIN(SUM(O30:R30),Paramètres!$E$19+MAX(P30,0)))</f>
        <v>0</v>
      </c>
      <c r="BC30" s="108">
        <f t="shared" si="20"/>
        <v>0</v>
      </c>
      <c r="BD30" s="108">
        <f t="shared" si="23"/>
        <v>0</v>
      </c>
      <c r="BE30" s="108">
        <f t="shared" si="11"/>
        <v>0</v>
      </c>
      <c r="BF30" s="108">
        <f t="shared" si="12"/>
        <v>0</v>
      </c>
      <c r="BG30" s="108">
        <f>(MAX(MIN(Paramètres!$B$9,(O30+P30+BE30+MAX(Q30,0)+R30)/T30),0)*Paramètres!$C$9+MAX(MIN(Paramètres!$B$10,(O30+P30+BE30+MAX(Q30,0)+R30)/T30)-Paramètres!$B$9,0)*Paramètres!$C$10+MAX(MIN(Paramètres!$B$11,(O30+P30+BE30+MAX(Q30,0)+R30)/T30)-Paramètres!$B$10,0)*Paramètres!$C$11+MAX(MIN(Paramètres!$B$12,(O30+P30+BE30+MAX(Q30,0)+R30)/T30)-Paramètres!$B$11,0)*Paramètres!$C$12+MAX(MIN(Paramètres!$B$13,(O30+P30+BE30+MAX(Q30,0)+R30)/T30)-Paramètres!$B$12,0)*Paramètres!$C$13)*T30</f>
        <v>36494.693752285646</v>
      </c>
      <c r="BH30" s="108">
        <f>(MAX(MIN(Paramètres!$B$9,(O30+P30+BE30+MAX(Q30,0)+R30)/U30),0)*Paramètres!$C$9+MAX(MIN(Paramètres!$B$10,(O30+P30+BE30+MAX(Q30,0)+R30)/U30)-Paramètres!$B$9,0)*Paramètres!$C$10+MAX(MIN(Paramètres!$B$11,(O30+P30+BE30+MAX(Q30,0)+R30)/U30)-Paramètres!$B$10,0)*Paramètres!$C$11+MAX(MIN(Paramètres!$B$12,(O30+P30+BE30+MAX(Q30,0)+R30)/U30)-Paramètres!$B$11,0)*Paramètres!$C$12+MAX(MIN(Paramètres!$B$13,(O30+P30+BE30+MAX(Q30,0)+R30)/U30)-Paramètres!$B$12,0)*Paramètres!$C$13)*U30</f>
        <v>36494.693752285646</v>
      </c>
      <c r="BI30" s="108">
        <f>MAX(BG30,BH30-Paramètres!$E$13*(T30-U30)*2)+MAX(P30+BE30,0)*Paramètres!$E$9+MAX(Q30,0)*Paramètres!$E$9+MAX(R30*Paramètres!$E$12,Paramètres!$E$11)</f>
        <v>37639.693752285646</v>
      </c>
      <c r="BJ30" s="150">
        <f>MAX(BI30-IFERROR(VLOOKUP(B30,Paramètres!$B$28:$C$39,2,FALSE),0)*MIN(MIN((Simulation!$C$7+Simulation!$C$12+Simulation!$C$8+Simulation!$C$10)/Simulation!$C$28,Paramètres!$C$26)*Simulation!$C$28,Paramètres!$C$25),0)-X30</f>
        <v>0</v>
      </c>
      <c r="BK30" s="108">
        <f t="shared" si="13"/>
        <v>0</v>
      </c>
      <c r="BL30" s="108">
        <f>(MAX(MIN(Paramètres!$B$9,(O30+MAX(P30+BK30,0)+MAX(Q30,0)+R30)/T30),0)*Paramètres!$C$9+MAX(MIN(Paramètres!$B$10,(O30+MAX(P30+BK30,0)+MAX(Q30,0)+R30)/T30)-Paramètres!$B$9,0)*Paramètres!$C$10+MAX(MIN(Paramètres!$B$11,(O30+MAX(P30+BK30,0)+MAX(Q30,0)+R30)/T30)-Paramètres!$B$10,0)*Paramètres!$C$11+MAX(MIN(Paramètres!$B$12,(O30+MAX(P30+BK30,0)+MAX(Q30,0)+R30)/T30)-Paramètres!$B$11,0)*Paramètres!$C$12+MAX(MIN(Paramètres!$B$13,(O30+MAX(P30+BK30,0)+MAX(Q30,0)+R30)/T30)-Paramètres!$B$12,0)*Paramètres!$C$13)*T30</f>
        <v>36494.693752285646</v>
      </c>
      <c r="BM30" s="108">
        <f>(MAX(MIN(Paramètres!$B$9,(O30+MAX(P30+BK30,0)+MAX(Q30,0)+R30)/U30),0)*Paramètres!$C$9+MAX(MIN(Paramètres!$B$10,(O30+MAX(P30+BK30,0)+MAX(Q30,0)+R30)/U30)-Paramètres!$B$9,0)*Paramètres!$C$10+MAX(MIN(Paramètres!$B$11,(O30+MAX(P30+BK30,0)+MAX(Q30,0)+R30)/U30)-Paramètres!$B$10,0)*Paramètres!$C$11+MAX(MIN(Paramètres!$B$12,(O30+MAX(P30+BK30,0)+MAX(Q30,0)+R30)/U30)-Paramètres!$B$11,0)*Paramètres!$C$12+MAX(MIN(Paramètres!$B$13,(O30+MAX(P30+BK30,0)+MAX(Q30,0)+R30)/U30)-Paramètres!$B$12,0)*Paramètres!$C$13)*U30</f>
        <v>36494.693752285646</v>
      </c>
      <c r="BN30" s="108">
        <f>MAX(BL30,BM30-Paramètres!$E$13*(T30-U30)*2)+MAX(P30+BK30,0)*Paramètres!$E$9+MAX(Q30,0)*Paramètres!$E$9+MAX(R30*Paramètres!$E$12,Paramètres!$E$11)</f>
        <v>37639.693752285646</v>
      </c>
      <c r="BO30" s="108">
        <f>MAX(BN30-IFERROR(VLOOKUP(B30,Paramètres!$B$28:$C$39,2,FALSE),0)*MIN(MIN((Simulation!$C$7+Simulation!$C$12+Simulation!$C$8+Simulation!$C$10)/Simulation!$C$28,Paramètres!$C$26)*Simulation!$C$28,Paramètres!$C$25),0)-X30</f>
        <v>0</v>
      </c>
      <c r="BP30" s="126">
        <f t="shared" si="14"/>
        <v>0</v>
      </c>
      <c r="BQ30" s="108">
        <f t="shared" si="15"/>
        <v>0</v>
      </c>
      <c r="BR30" s="108">
        <f t="shared" si="21"/>
        <v>0</v>
      </c>
      <c r="BS30" s="108">
        <f t="shared" si="19"/>
        <v>0</v>
      </c>
      <c r="BT30" s="108">
        <f t="shared" si="16"/>
        <v>0</v>
      </c>
      <c r="BU30" s="108">
        <f>(MAX(MIN(Paramètres!$B$9,(O30+MAX(P30,0)+MAX(Q30,0)+R30+BS30)/T30),0)*Paramètres!$C$9+MAX(MIN(Paramètres!$B$10,(O30+MAX(P30,0)+MAX(Q30,0)+R30+BS30)/T30)-Paramètres!$B$9,0)*Paramètres!$C$10+MAX(MIN(Paramètres!$B$11,(O30+MAX(P30,0)+MAX(Q30,0)+R30+BS30)/T30)-Paramètres!$B$10,0)*Paramètres!$C$11+MAX(MIN(Paramètres!$B$12,(O30+MAX(P30,0)+MAX(Q30,0)+R30+BS30)/T30)-Paramètres!$B$11,0)*Paramètres!$C$12+MAX(MIN(Paramètres!$B$13,(O30+MAX(P30,0)+MAX(Q30,0)+R30+BS30)/T30)-Paramètres!$B$12,0)*Paramètres!$C$13)*T30</f>
        <v>36494.693752285646</v>
      </c>
      <c r="BV30" s="108">
        <f>(MAX(MIN(Paramètres!$B$9,(O30+MAX(P30,0)+MAX(Q30,0)+R30+BS30)/U30),0)*Paramètres!$C$9+MAX(MIN(Paramètres!$B$10,(O30+MAX(P30,0)+MAX(Q30,0)+R30+BS30)/U30)-Paramètres!$B$9,0)*Paramètres!$C$10+MAX(MIN(Paramètres!$B$11,(O30+MAX(P30,0)+MAX(Q30,0)+R30+BS30)/U30)-Paramètres!$B$10,0)*Paramètres!$C$11+MAX(MIN(Paramètres!$B$12,(O30+MAX(P30,0)+MAX(Q30,0)+R30+BS30)/U30)-Paramètres!$B$11,0)*Paramètres!$C$12+MAX(MIN(Paramètres!$B$13,(O30+MAX(P30,0)+MAX(Q30,0)+R30+BS30)/U30)-Paramètres!$B$12,0)*Paramètres!$C$13)*U30</f>
        <v>36494.693752285646</v>
      </c>
      <c r="BW30" s="108">
        <f>MAX(BU30,BV30-Paramètres!$E$13*(T30-U30)*2)+MAX(P30,0)*Paramètres!$E$9+MAX(Q30,0)*Paramètres!$E$9+MAX((R30+BS30)*Paramètres!$E$12,Paramètres!$E$11)</f>
        <v>37639.693752285646</v>
      </c>
      <c r="BX30" s="108">
        <f t="shared" si="17"/>
        <v>0</v>
      </c>
      <c r="BY30" s="149">
        <f>(C30-SUM(D30:N30)+MIN(BY29,0))*(B30&lt;=Simulation!$F$24)</f>
        <v>0</v>
      </c>
      <c r="BZ30" s="108">
        <f>(Simulation!$F$22-(Simulation!$C$13-SUM($I$8:$N$37)))*(B30=Simulation!$F$24)</f>
        <v>0</v>
      </c>
      <c r="CA30" s="108">
        <f>MAX(MIN(BY30+BZ30,Paramètres!$B$17)*Paramètres!$C$17+MAX(MIN(BY30+BZ30,Paramètres!$B$18)-Paramètres!$B$17,0)*Paramètres!$C$18+MAX(MIN(BY30+BZ30,Paramètres!$B$19)-Paramètres!$B$18,0)*Paramètres!$C$19,0)</f>
        <v>0</v>
      </c>
      <c r="CB30" s="150">
        <f>MAX(MIN(BY30,Paramètres!$B$17)*Paramètres!$C$17+MAX(MIN(BY30,Paramètres!$B$18)-Paramètres!$B$17,0)*Paramètres!$C$18+MAX(MIN(BY30,Paramètres!$B$19)-Paramètres!$B$18,0)*Paramètres!$C$19,0)</f>
        <v>0</v>
      </c>
      <c r="CC30" s="108">
        <f>(C30-SUM(D30:N30)+MIN(CC29,0))*(B30&lt;=Simulation!$F$24)</f>
        <v>0</v>
      </c>
      <c r="CD30" s="108">
        <f>(Simulation!$F$22-(Simulation!$C$13-SUM($I$8:$N$37)))*(B30=Simulation!$F$24)</f>
        <v>0</v>
      </c>
      <c r="CE30" s="108">
        <f>MAX(MIN(CC30+CD30,Paramètres!$B$17)*Paramètres!$C$17+MAX(MIN(CC30+CD30,Paramètres!$B$18)-Paramètres!$B$17,0)*Paramètres!$C$18+MAX(MIN(CC30+CD30,Paramètres!$B$19)-Paramètres!$B$18,0)*Paramètres!$C$19,0)</f>
        <v>0</v>
      </c>
      <c r="CF30" s="108">
        <f>MAX(MIN(CC30,Paramètres!$B$17)*Paramètres!$C$17+MAX(MIN(CC30,Paramètres!$B$18)-Paramètres!$B$17,0)*Paramètres!$C$18+MAX(MIN(CC30,Paramètres!$B$19)-Paramètres!$B$18,0)*Paramètres!$C$19,0)</f>
        <v>0</v>
      </c>
      <c r="CG30" s="108">
        <f>MAX(CC30+CD30-CF30,0)*(1-Paramètres!$E$17)*Paramètres!$E$18</f>
        <v>0</v>
      </c>
      <c r="CH30" s="54">
        <f>MAX(CC30-CF30,0)*(1-Paramètres!$E$17)*Paramètres!$E$18</f>
        <v>0</v>
      </c>
      <c r="CI30" s="127">
        <f ca="1">OFFSET($AC30,0,VLOOKUP(Simulation!$C$27,Simulation!$Q$5:$R$14,2,FALSE))</f>
        <v>0</v>
      </c>
      <c r="CK30" s="167"/>
      <c r="CL30" s="167"/>
      <c r="CM30" s="167"/>
      <c r="CN30" s="167"/>
      <c r="CO30" s="167"/>
      <c r="CP30" s="167"/>
      <c r="CQ30" s="167"/>
      <c r="CR30" s="167"/>
      <c r="CS30" s="167"/>
      <c r="CT30" s="167"/>
      <c r="CU30" s="167"/>
      <c r="CV30" s="167"/>
    </row>
    <row r="31" spans="2:100" x14ac:dyDescent="0.2">
      <c r="B31" s="40">
        <f t="shared" si="0"/>
        <v>24</v>
      </c>
      <c r="C31" s="143">
        <f>SUMPRODUCT('Détail trésorerie'!$H$8:$H$367*('Détail trésorerie'!$B$8:$B$367&gt;$B30*12)*('Détail trésorerie'!$B$8:$B$367&lt;=$B31*12))</f>
        <v>0</v>
      </c>
      <c r="D31" s="143">
        <f>SUMPRODUCT('Détail trésorerie'!$E$8:$E$367*('Détail trésorerie'!$B$8:$B$367&gt;$B30*12)*('Détail trésorerie'!$B$8:$B$367&lt;=$B31*12))</f>
        <v>0</v>
      </c>
      <c r="E31" s="144">
        <f>SUMPRODUCT('Détail trésorerie'!$J$8:$J$367*('Détail trésorerie'!$B$8:$B$367&gt;$B30*12)*('Détail trésorerie'!$B$8:$B$367&lt;=$B31*12))</f>
        <v>0</v>
      </c>
      <c r="F31" s="144">
        <f>SUMPRODUCT('Détail trésorerie'!$K$8:$K$367*('Détail trésorerie'!$B$8:$B$367&gt;$B30*12)*('Détail trésorerie'!$B$8:$B$367&lt;=$B31*12))</f>
        <v>0</v>
      </c>
      <c r="G31" s="144">
        <f>SUMPRODUCT('Détail trésorerie'!$L$8:$L$367*('Détail trésorerie'!$B$8:$B$367&gt;$B30*12)*('Détail trésorerie'!$B$8:$B$367&lt;=$B31*12))</f>
        <v>0</v>
      </c>
      <c r="H31" s="145">
        <f>SUMPRODUCT('Détail trésorerie'!$M$8:$M$367*('Détail trésorerie'!$B$8:$B$367&gt;$B30*12)*('Détail trésorerie'!$B$8:$B$367&lt;=$B31*12))</f>
        <v>0</v>
      </c>
      <c r="I31" s="126">
        <f>MAX(MIN(Paramètres!$E$3*Simulation!$C$7*Paramètres!$C$3,Simulation!$C$7*Paramètres!$E$3-SUM(I$8:$I30)),0)*(B31&lt;=Simulation!$F$24)</f>
        <v>0</v>
      </c>
      <c r="J31" s="108">
        <f>MAX(MIN(Paramètres!$E$4*Simulation!$C$7*Paramètres!$C$4,Simulation!$C$7*Paramètres!$E$4-SUM($J$8:J30)),0)*(B31&lt;=Simulation!$F$24)</f>
        <v>0</v>
      </c>
      <c r="K31" s="108">
        <f>MAX(MIN(Paramètres!$E$5*Simulation!$C$8*Paramètres!$C$5,Paramètres!$E$5*Simulation!$C$8-SUM($K$8:K30)),0)*(B31&lt;=Simulation!$F$24)</f>
        <v>0</v>
      </c>
      <c r="L31" s="108">
        <v>0</v>
      </c>
      <c r="M31" s="108">
        <v>0</v>
      </c>
      <c r="N31" s="108">
        <f>MAX(MIN(Paramètres!$C$6*(Simulation!$C$10+Simulation!$C$11+Simulation!$C$12),(Simulation!$C$10+Simulation!$C$11+Simulation!$C$12)-SUM(N$8:N30)),0)*(B31&lt;=Simulation!$F$24)</f>
        <v>0</v>
      </c>
      <c r="O31" s="148">
        <f>25000*8/2*(1+Emprunteur!$F$7)^$B31</f>
        <v>126973.4648531915</v>
      </c>
      <c r="P31" s="165">
        <f>0*(1+Emprunteur!$F$8)^$B31</f>
        <v>0</v>
      </c>
      <c r="Q31" s="165">
        <f>0*(1+Emprunteur!$F$9)^$B31</f>
        <v>0</v>
      </c>
      <c r="R31" s="165">
        <f>0*(1+Emprunteur!$F$10)^$B31</f>
        <v>0</v>
      </c>
      <c r="S31" s="108">
        <f t="shared" si="5"/>
        <v>126973.4648531915</v>
      </c>
      <c r="T31" s="157">
        <v>1</v>
      </c>
      <c r="U31" s="157">
        <v>1</v>
      </c>
      <c r="V31" s="108">
        <f>(MAX(MIN(Paramètres!$B$9,S31/T31),0)*Paramètres!$C$9+MAX(MIN(Paramètres!$B$10,S31/T31)-Paramètres!$B$9,0)*Paramètres!$C$10+MAX(MIN(Paramètres!$B$11,S31/T31)-Paramètres!$B$10,0)*Paramètres!$C$11+MAX(MIN(Paramètres!$B$12,S31/T31)-Paramètres!$B$11,0)*Paramètres!$C$12+MAX(MIN(Paramètres!$B$13,S31/T31)-Paramètres!$B$12,0)*Paramètres!$C$13)*T31</f>
        <v>37010.130589808512</v>
      </c>
      <c r="W31" s="108">
        <f>(MAX(MIN(Paramètres!$B$9,S31/U31),0)*Paramètres!$C$9+MAX(MIN(Paramètres!$B$10,S31/U31)-Paramètres!$B$9,0)*Paramètres!$C$10+MAX(MIN(Paramètres!$B$11,S31/U31)-Paramètres!$B$10,0)*Paramètres!$C$11+MAX(MIN(Paramètres!$B$12,S31/U31)-Paramètres!$B$11,0)*Paramètres!$C$12+MAX(MIN(Paramètres!$B$13,S31/U31)-Paramètres!$B$12,0)*Paramètres!$C$13)*U31</f>
        <v>37010.130589808512</v>
      </c>
      <c r="X31" s="108">
        <f>MAX(V31,W31-Paramètres!$E$13*(T31-U31)*2)+MAX(P31,0)*Paramètres!$E$9+MAX(Q31,0)*Paramètres!$E$9+MAX(R31*Paramètres!$E$12,Paramètres!$E$11)</f>
        <v>38155.130589808512</v>
      </c>
      <c r="Y31" s="126">
        <f>(C31-SUM(D31:N31)+MIN(Y30,0))*(B31&lt;=Simulation!$F$24)</f>
        <v>0</v>
      </c>
      <c r="Z31" s="108">
        <f>(MAX(MIN(Paramètres!$B$9,(O31+MAX(P31,0)+MAX(Q31+Y31,0)+R31)/T31),0)*Paramètres!$C$9+MAX(MIN(Paramètres!$B$10,(O31+MAX(P31,0)+MAX(Q31+Y31,0)+R31)/T31)-Paramètres!$B$9,0)*Paramètres!$C$10+MAX(MIN(Paramètres!$B$11,(O31+MAX(P31,0)+MAX(Q31+Y31,0)+R31)/T31)-Paramètres!$B$10,0)*Paramètres!$C$11+MAX(MIN(Paramètres!$B$12,(O31+MAX(P31,0)+MAX(Q31+Y31,0)+R31)/T31)-Paramètres!$B$11,0)*Paramètres!$C$12+MAX(MIN(Paramètres!$B$13,(O31+MAX(P31,0)+MAX(Q31+Y31,0)+R31)/T31)-Paramètres!$B$12,0)*Paramètres!$C$13)*T31</f>
        <v>37010.130589808512</v>
      </c>
      <c r="AA31" s="108">
        <f>(MAX(MIN(Paramètres!$B$9,(O31+MAX(P31,0)+MAX(Q31+Y31,0)+R31)/U31),0)*Paramètres!$C$9+MAX(MIN(Paramètres!$B$10,(O31+MAX(P31,0)+MAX(Q31+Y31,0)+R31)/U31)-Paramètres!$B$9,0)*Paramètres!$C$10+MAX(MIN(Paramètres!$B$11,(O31+MAX(P31,0)+MAX(Q31+Y31,0)+R31)/U31)-Paramètres!$B$10,0)*Paramètres!$C$11+MAX(MIN(Paramètres!$B$12,(O31+MAX(P31,0)+MAX(Q31+Y31,0)+R31)/U31)-Paramètres!$B$11,0)*Paramètres!$C$12+MAX(MIN(Paramètres!$B$13,(O31+MAX(P31,0)+MAX(Q31+Y31,0)+R31)/U31)-Paramètres!$B$12,0)*Paramètres!$C$13)*U31</f>
        <v>37010.130589808512</v>
      </c>
      <c r="AB31" s="108">
        <f>MAX(Z31,AA31-Paramètres!$E$13*(T31-U31)*2)+MAX(P31,0)*Paramètres!$E$9+MAX(Q31+Y31,0)*Paramètres!$E$9+MAX(R31*Paramètres!$E$12,Paramètres!$E$11)</f>
        <v>38155.130589808512</v>
      </c>
      <c r="AC31" s="108">
        <f t="shared" si="6"/>
        <v>0</v>
      </c>
      <c r="AD31" s="149">
        <f t="shared" si="1"/>
        <v>0</v>
      </c>
      <c r="AE31" s="108">
        <f>(MAX(MIN(Paramètres!$B$9,(O31+MAX(P31,0)+MAX(Q31+AD31,0)+R31)/T31),0)*Paramètres!$C$9+MAX(MIN(Paramètres!$B$10,(O31+MAX(P31,0)+MAX(Q31+AD31,0)+R31)/T31)-Paramètres!$B$9,0)*Paramètres!$C$10+MAX(MIN(Paramètres!$B$11,(O31+MAX(P31,0)+MAX(Q31+AD31,0)+R31)/T31)-Paramètres!$B$10,0)*Paramètres!$C$11+MAX(MIN(Paramètres!$B$12,(O31+MAX(P31,0)+MAX(Q31+AD31,0)+R31)/T31)-Paramètres!$B$11,0)*Paramètres!$C$12+MAX(MIN(Paramètres!$B$13,(O31+MAX(P31,0)+MAX(Q31+AD31,0)+R31)/T31)-Paramètres!$B$12,0)*Paramètres!$C$13)*T31</f>
        <v>37010.130589808512</v>
      </c>
      <c r="AF31" s="108">
        <f>(MAX(MIN(Paramètres!$B$9,(O31+MAX(P31,0)+MAX(Q31+AD31,0)+R31)/U31),0)*Paramètres!$C$9+MAX(MIN(Paramètres!$B$10,(O31+MAX(P31,0)+MAX(Q31+AD31,0)+R31)/U31)-Paramètres!$B$9,0)*Paramètres!$C$10+MAX(MIN(Paramètres!$B$11,(O31+MAX(P31,0)+MAX(Q31+AD31,0)+R31)/U31)-Paramètres!$B$10,0)*Paramètres!$C$11+MAX(MIN(Paramètres!$B$12,(O31+MAX(P31,0)+MAX(Q31+AD31,0)+R31)/U31)-Paramètres!$B$11,0)*Paramètres!$C$12+MAX(MIN(Paramètres!$B$13,(O31+MAX(P31,0)+MAX(Q31+AD31,0)+R31)/U31)-Paramètres!$B$12,0)*Paramètres!$C$13)*U31</f>
        <v>37010.130589808512</v>
      </c>
      <c r="AG31" s="108">
        <f>MAX(AE31,AF31-Paramètres!$E$13*(T31-U31)*2)+MAX(P31,0)*Paramètres!$E$9+MAX(Q31+AD31,0)*Paramètres!$E$9+MAX(R31*Paramètres!$E$12,Paramètres!$E$11)</f>
        <v>38155.130589808512</v>
      </c>
      <c r="AH31" s="150">
        <f t="shared" si="7"/>
        <v>0</v>
      </c>
      <c r="AI31" s="149">
        <f t="shared" si="8"/>
        <v>0</v>
      </c>
      <c r="AJ31" s="108">
        <f>(MAX(MIN(Paramètres!$B$9,(O31+MAX(P31,0)+MAX(Q31+AI31,0)+R31)/T31),0)*Paramètres!$C$9+MAX(MIN(Paramètres!$B$10,(O31+MAX(P31,0)+MAX(Q31+AI31,0)+R31)/T31)-Paramètres!$B$9,0)*Paramètres!$C$10+MAX(MIN(Paramètres!$B$11,(O31+MAX(P31,0)+MAX(Q31+AI31,0)+R31)/T31)-Paramètres!$B$10,0)*Paramètres!$C$11+MAX(MIN(Paramètres!$B$12,(O31+MAX(P31,0)+MAX(Q31+AI31,0)+R31)/T31)-Paramètres!$B$11,0)*Paramètres!$C$12+MAX(MIN(Paramètres!$B$13,(O31+MAX(P31,0)+MAX(Q31+AI31,0)+R31)/T31)-Paramètres!$B$12,0)*Paramètres!$C$13)*T31</f>
        <v>37010.130589808512</v>
      </c>
      <c r="AK31" s="108">
        <f>(MAX(MIN(Paramètres!$B$9,(O31+MAX(P31,0)+MAX(Q31+AI31,0)+R31)/U31),0)*Paramètres!$C$9+MAX(MIN(Paramètres!$B$10,(O31+MAX(P31,0)+MAX(Q31+AI31,0)+R31)/U31)-Paramètres!$B$9,0)*Paramètres!$C$10+MAX(MIN(Paramètres!$B$11,(O31+MAX(P31,0)+MAX(Q31+AI31,0)+R31)/U31)-Paramètres!$B$10,0)*Paramètres!$C$11+MAX(MIN(Paramètres!$B$12,(O31+MAX(P31,0)+MAX(Q31+AI31,0)+R31)/U31)-Paramètres!$B$11,0)*Paramètres!$C$12+MAX(MIN(Paramètres!$B$13,(O31+MAX(P31,0)+MAX(Q31+AI31,0)+R31)/U31)-Paramètres!$B$12,0)*Paramètres!$C$13)*U31</f>
        <v>37010.130589808512</v>
      </c>
      <c r="AL31" s="108">
        <f>MAX(AJ31,AK31-Paramètres!$E$13*(T31-U31)*2)+MAX(P31,0)*Paramètres!$E$9+MAX(Q31+AI31,0)*Paramètres!$E$9+MAX(R31*Paramètres!$E$12,Paramètres!$E$11)</f>
        <v>38155.130589808512</v>
      </c>
      <c r="AM31" s="150">
        <f>MAX(AL31-11%/9*Simulation!$C$7*(B31&lt;=9),0)-X31</f>
        <v>0</v>
      </c>
      <c r="AN31" s="149">
        <f>MAX(MAX(C31-D31,0)-SUM(E31:H31),-MIN(SUM(O31:R31),Paramètres!$E$19+MAX(P31,0)))</f>
        <v>0</v>
      </c>
      <c r="AO31" s="108">
        <f t="shared" si="18"/>
        <v>0</v>
      </c>
      <c r="AP31" s="108">
        <f t="shared" si="22"/>
        <v>0</v>
      </c>
      <c r="AQ31" s="108">
        <f t="shared" si="9"/>
        <v>0</v>
      </c>
      <c r="AR31" s="108">
        <f t="shared" si="10"/>
        <v>0</v>
      </c>
      <c r="AS31" s="108">
        <f>(MAX(MIN(Paramètres!$B$9,(O31+P31+AQ31+MAX(Q31,0)+R31)/T31),0)*Paramètres!$C$9+MAX(MIN(Paramètres!$B$10,(O31+P31+AQ31+MAX(Q31,0)+R31)/T31)-Paramètres!$B$9,0)*Paramètres!$C$10+MAX(MIN(Paramètres!$B$11,(O31+P31+AQ31+MAX(Q31,0)+R31)/T31)-Paramètres!$B$10,0)*Paramètres!$C$11+MAX(MIN(Paramètres!$B$12,(O31+P31+AQ31+MAX(Q31,0)+R31)/T31)-Paramètres!$B$11,0)*Paramètres!$C$12+MAX(MIN(Paramètres!$B$13,(O31+P31+AQ31+MAX(Q31,0)+R31)/T31)-Paramètres!$B$12,0)*Paramètres!$C$13)*T31</f>
        <v>37010.130589808512</v>
      </c>
      <c r="AT31" s="108">
        <f>(MAX(MIN(Paramètres!$B$9,(O31+P31+AQ31+MAX(Q31,0)+R31)/U31),0)*Paramètres!$C$9+MAX(MIN(Paramètres!$B$10,(O31+P31+AQ31+MAX(Q31,0)+R31)/U31)-Paramètres!$B$9,0)*Paramètres!$C$10+MAX(MIN(Paramètres!$B$11,(O31+P31+AQ31+MAX(Q31,0)+R31)/U31)-Paramètres!$B$10,0)*Paramètres!$C$11+MAX(MIN(Paramètres!$B$12,(O31+P31+AQ31+MAX(Q31,0)+R31)/U31)-Paramètres!$B$11,0)*Paramètres!$C$12+MAX(MIN(Paramètres!$B$13,(O31+P31+AQ31+MAX(Q31,0)+R31)/U31)-Paramètres!$B$12,0)*Paramètres!$C$13)*U31</f>
        <v>37010.130589808512</v>
      </c>
      <c r="AU31" s="108">
        <f>MAX(AS31,AT31-Paramètres!$E$13*(T31-U31)*2)+MAX(P31+AQ31,0)*Paramètres!$E$9+MAX(Q31,0)*Paramètres!$E$9+MAX(R31*Paramètres!$E$12,Paramètres!$E$11)</f>
        <v>38155.130589808512</v>
      </c>
      <c r="AV31" s="150">
        <f t="shared" si="2"/>
        <v>0</v>
      </c>
      <c r="AW31" s="108">
        <f t="shared" si="3"/>
        <v>0</v>
      </c>
      <c r="AX31" s="108">
        <f>(MAX(MIN(Paramètres!$B$9,(O31+MAX(P31+AW31,0)+MAX(Q31,0)+R31)/T31),0)*Paramètres!$C$9+MAX(MIN(Paramètres!$B$10,(O31+MAX(P31+AW31,0)+MAX(Q31,0)+R31)/T31)-Paramètres!$B$9,0)*Paramètres!$C$10+MAX(MIN(Paramètres!$B$11,(O31+MAX(P31+AW31,0)+MAX(Q31,0)+R31)/T31)-Paramètres!$B$10,0)*Paramètres!$C$11+MAX(MIN(Paramètres!$B$12,(O31+MAX(P31+AW31,0)+MAX(Q31,0)+R31)/T31)-Paramètres!$B$11,0)*Paramètres!$C$12+MAX(MIN(Paramètres!$B$13,(O31+MAX(P31+AW31,0)+MAX(Q31,0)+R31)/T31)-Paramètres!$B$12,0)*Paramètres!$C$13)*T31</f>
        <v>37010.130589808512</v>
      </c>
      <c r="AY31" s="108">
        <f>(MAX(MIN(Paramètres!$B$9,(O31+MAX(P31+AW31,0)+MAX(Q31,0)+R31)/U31),0)*Paramètres!$C$9+MAX(MIN(Paramètres!$B$10,(O31+MAX(P31+AW31,0)+MAX(Q31,0)+R31)/U31)-Paramètres!$B$9,0)*Paramètres!$C$10+MAX(MIN(Paramètres!$B$11,(O31+MAX(P31+AW31,0)+MAX(Q31,0)+R31)/U31)-Paramètres!$B$10,0)*Paramètres!$C$11+MAX(MIN(Paramètres!$B$12,(O31+MAX(P31+AW31,0)+MAX(Q31,0)+R31)/U31)-Paramètres!$B$11,0)*Paramètres!$C$12+MAX(MIN(Paramètres!$B$13,(O31+MAX(P31+AW31,0)+MAX(Q31,0)+R31)/U31)-Paramètres!$B$12,0)*Paramètres!$C$13)*U31</f>
        <v>37010.130589808512</v>
      </c>
      <c r="AZ31" s="108">
        <f>MAX(AX31,AY31-Paramètres!$E$13*(T31-U31)*2)+MAX(P31+AW31,0)*Paramètres!$E$9+MAX(Q31,0)*Paramètres!$E$9+MAX(R31*Paramètres!$E$12,Paramètres!$E$11)</f>
        <v>38155.130589808512</v>
      </c>
      <c r="BA31" s="108">
        <f t="shared" si="4"/>
        <v>0</v>
      </c>
      <c r="BB31" s="149">
        <f>MAX(MAX(C31-D31,0)-SUM(E31:H31),-MIN(SUM(O31:R31),Paramètres!$E$19+MAX(P31,0)))</f>
        <v>0</v>
      </c>
      <c r="BC31" s="108">
        <f t="shared" si="20"/>
        <v>0</v>
      </c>
      <c r="BD31" s="108">
        <f t="shared" si="23"/>
        <v>0</v>
      </c>
      <c r="BE31" s="108">
        <f t="shared" si="11"/>
        <v>0</v>
      </c>
      <c r="BF31" s="108">
        <f t="shared" si="12"/>
        <v>0</v>
      </c>
      <c r="BG31" s="108">
        <f>(MAX(MIN(Paramètres!$B$9,(O31+P31+BE31+MAX(Q31,0)+R31)/T31),0)*Paramètres!$C$9+MAX(MIN(Paramètres!$B$10,(O31+P31+BE31+MAX(Q31,0)+R31)/T31)-Paramètres!$B$9,0)*Paramètres!$C$10+MAX(MIN(Paramètres!$B$11,(O31+P31+BE31+MAX(Q31,0)+R31)/T31)-Paramètres!$B$10,0)*Paramètres!$C$11+MAX(MIN(Paramètres!$B$12,(O31+P31+BE31+MAX(Q31,0)+R31)/T31)-Paramètres!$B$11,0)*Paramètres!$C$12+MAX(MIN(Paramètres!$B$13,(O31+P31+BE31+MAX(Q31,0)+R31)/T31)-Paramètres!$B$12,0)*Paramètres!$C$13)*T31</f>
        <v>37010.130589808512</v>
      </c>
      <c r="BH31" s="108">
        <f>(MAX(MIN(Paramètres!$B$9,(O31+P31+BE31+MAX(Q31,0)+R31)/U31),0)*Paramètres!$C$9+MAX(MIN(Paramètres!$B$10,(O31+P31+BE31+MAX(Q31,0)+R31)/U31)-Paramètres!$B$9,0)*Paramètres!$C$10+MAX(MIN(Paramètres!$B$11,(O31+P31+BE31+MAX(Q31,0)+R31)/U31)-Paramètres!$B$10,0)*Paramètres!$C$11+MAX(MIN(Paramètres!$B$12,(O31+P31+BE31+MAX(Q31,0)+R31)/U31)-Paramètres!$B$11,0)*Paramètres!$C$12+MAX(MIN(Paramètres!$B$13,(O31+P31+BE31+MAX(Q31,0)+R31)/U31)-Paramètres!$B$12,0)*Paramètres!$C$13)*U31</f>
        <v>37010.130589808512</v>
      </c>
      <c r="BI31" s="108">
        <f>MAX(BG31,BH31-Paramètres!$E$13*(T31-U31)*2)+MAX(P31+BE31,0)*Paramètres!$E$9+MAX(Q31,0)*Paramètres!$E$9+MAX(R31*Paramètres!$E$12,Paramètres!$E$11)</f>
        <v>38155.130589808512</v>
      </c>
      <c r="BJ31" s="150">
        <f>MAX(BI31-IFERROR(VLOOKUP(B31,Paramètres!$B$28:$C$39,2,FALSE),0)*MIN(MIN((Simulation!$C$7+Simulation!$C$12+Simulation!$C$8+Simulation!$C$10)/Simulation!$C$28,Paramètres!$C$26)*Simulation!$C$28,Paramètres!$C$25),0)-X31</f>
        <v>0</v>
      </c>
      <c r="BK31" s="108">
        <f t="shared" si="13"/>
        <v>0</v>
      </c>
      <c r="BL31" s="108">
        <f>(MAX(MIN(Paramètres!$B$9,(O31+MAX(P31+BK31,0)+MAX(Q31,0)+R31)/T31),0)*Paramètres!$C$9+MAX(MIN(Paramètres!$B$10,(O31+MAX(P31+BK31,0)+MAX(Q31,0)+R31)/T31)-Paramètres!$B$9,0)*Paramètres!$C$10+MAX(MIN(Paramètres!$B$11,(O31+MAX(P31+BK31,0)+MAX(Q31,0)+R31)/T31)-Paramètres!$B$10,0)*Paramètres!$C$11+MAX(MIN(Paramètres!$B$12,(O31+MAX(P31+BK31,0)+MAX(Q31,0)+R31)/T31)-Paramètres!$B$11,0)*Paramètres!$C$12+MAX(MIN(Paramètres!$B$13,(O31+MAX(P31+BK31,0)+MAX(Q31,0)+R31)/T31)-Paramètres!$B$12,0)*Paramètres!$C$13)*T31</f>
        <v>37010.130589808512</v>
      </c>
      <c r="BM31" s="108">
        <f>(MAX(MIN(Paramètres!$B$9,(O31+MAX(P31+BK31,0)+MAX(Q31,0)+R31)/U31),0)*Paramètres!$C$9+MAX(MIN(Paramètres!$B$10,(O31+MAX(P31+BK31,0)+MAX(Q31,0)+R31)/U31)-Paramètres!$B$9,0)*Paramètres!$C$10+MAX(MIN(Paramètres!$B$11,(O31+MAX(P31+BK31,0)+MAX(Q31,0)+R31)/U31)-Paramètres!$B$10,0)*Paramètres!$C$11+MAX(MIN(Paramètres!$B$12,(O31+MAX(P31+BK31,0)+MAX(Q31,0)+R31)/U31)-Paramètres!$B$11,0)*Paramètres!$C$12+MAX(MIN(Paramètres!$B$13,(O31+MAX(P31+BK31,0)+MAX(Q31,0)+R31)/U31)-Paramètres!$B$12,0)*Paramètres!$C$13)*U31</f>
        <v>37010.130589808512</v>
      </c>
      <c r="BN31" s="108">
        <f>MAX(BL31,BM31-Paramètres!$E$13*(T31-U31)*2)+MAX(P31+BK31,0)*Paramètres!$E$9+MAX(Q31,0)*Paramètres!$E$9+MAX(R31*Paramètres!$E$12,Paramètres!$E$11)</f>
        <v>38155.130589808512</v>
      </c>
      <c r="BO31" s="108">
        <f>MAX(BN31-IFERROR(VLOOKUP(B31,Paramètres!$B$28:$C$39,2,FALSE),0)*MIN(MIN((Simulation!$C$7+Simulation!$C$12+Simulation!$C$8+Simulation!$C$10)/Simulation!$C$28,Paramètres!$C$26)*Simulation!$C$28,Paramètres!$C$25),0)-X31</f>
        <v>0</v>
      </c>
      <c r="BP31" s="126">
        <f t="shared" si="14"/>
        <v>0</v>
      </c>
      <c r="BQ31" s="108">
        <f t="shared" si="15"/>
        <v>0</v>
      </c>
      <c r="BR31" s="108">
        <f t="shared" si="21"/>
        <v>0</v>
      </c>
      <c r="BS31" s="108">
        <f t="shared" si="19"/>
        <v>0</v>
      </c>
      <c r="BT31" s="108">
        <f t="shared" si="16"/>
        <v>0</v>
      </c>
      <c r="BU31" s="108">
        <f>(MAX(MIN(Paramètres!$B$9,(O31+MAX(P31,0)+MAX(Q31,0)+R31+BS31)/T31),0)*Paramètres!$C$9+MAX(MIN(Paramètres!$B$10,(O31+MAX(P31,0)+MAX(Q31,0)+R31+BS31)/T31)-Paramètres!$B$9,0)*Paramètres!$C$10+MAX(MIN(Paramètres!$B$11,(O31+MAX(P31,0)+MAX(Q31,0)+R31+BS31)/T31)-Paramètres!$B$10,0)*Paramètres!$C$11+MAX(MIN(Paramètres!$B$12,(O31+MAX(P31,0)+MAX(Q31,0)+R31+BS31)/T31)-Paramètres!$B$11,0)*Paramètres!$C$12+MAX(MIN(Paramètres!$B$13,(O31+MAX(P31,0)+MAX(Q31,0)+R31+BS31)/T31)-Paramètres!$B$12,0)*Paramètres!$C$13)*T31</f>
        <v>37010.130589808512</v>
      </c>
      <c r="BV31" s="108">
        <f>(MAX(MIN(Paramètres!$B$9,(O31+MAX(P31,0)+MAX(Q31,0)+R31+BS31)/U31),0)*Paramètres!$C$9+MAX(MIN(Paramètres!$B$10,(O31+MAX(P31,0)+MAX(Q31,0)+R31+BS31)/U31)-Paramètres!$B$9,0)*Paramètres!$C$10+MAX(MIN(Paramètres!$B$11,(O31+MAX(P31,0)+MAX(Q31,0)+R31+BS31)/U31)-Paramètres!$B$10,0)*Paramètres!$C$11+MAX(MIN(Paramètres!$B$12,(O31+MAX(P31,0)+MAX(Q31,0)+R31+BS31)/U31)-Paramètres!$B$11,0)*Paramètres!$C$12+MAX(MIN(Paramètres!$B$13,(O31+MAX(P31,0)+MAX(Q31,0)+R31+BS31)/U31)-Paramètres!$B$12,0)*Paramètres!$C$13)*U31</f>
        <v>37010.130589808512</v>
      </c>
      <c r="BW31" s="108">
        <f>MAX(BU31,BV31-Paramètres!$E$13*(T31-U31)*2)+MAX(P31,0)*Paramètres!$E$9+MAX(Q31,0)*Paramètres!$E$9+MAX((R31+BS31)*Paramètres!$E$12,Paramètres!$E$11)</f>
        <v>38155.130589808512</v>
      </c>
      <c r="BX31" s="108">
        <f t="shared" si="17"/>
        <v>0</v>
      </c>
      <c r="BY31" s="149">
        <f>(C31-SUM(D31:N31)+MIN(BY30,0))*(B31&lt;=Simulation!$F$24)</f>
        <v>0</v>
      </c>
      <c r="BZ31" s="108">
        <f>(Simulation!$F$22-(Simulation!$C$13-SUM($I$8:$N$37)))*(B31=Simulation!$F$24)</f>
        <v>0</v>
      </c>
      <c r="CA31" s="108">
        <f>MAX(MIN(BY31+BZ31,Paramètres!$B$17)*Paramètres!$C$17+MAX(MIN(BY31+BZ31,Paramètres!$B$18)-Paramètres!$B$17,0)*Paramètres!$C$18+MAX(MIN(BY31+BZ31,Paramètres!$B$19)-Paramètres!$B$18,0)*Paramètres!$C$19,0)</f>
        <v>0</v>
      </c>
      <c r="CB31" s="150">
        <f>MAX(MIN(BY31,Paramètres!$B$17)*Paramètres!$C$17+MAX(MIN(BY31,Paramètres!$B$18)-Paramètres!$B$17,0)*Paramètres!$C$18+MAX(MIN(BY31,Paramètres!$B$19)-Paramètres!$B$18,0)*Paramètres!$C$19,0)</f>
        <v>0</v>
      </c>
      <c r="CC31" s="108">
        <f>(C31-SUM(D31:N31)+MIN(CC30,0))*(B31&lt;=Simulation!$F$24)</f>
        <v>0</v>
      </c>
      <c r="CD31" s="108">
        <f>(Simulation!$F$22-(Simulation!$C$13-SUM($I$8:$N$37)))*(B31=Simulation!$F$24)</f>
        <v>0</v>
      </c>
      <c r="CE31" s="108">
        <f>MAX(MIN(CC31+CD31,Paramètres!$B$17)*Paramètres!$C$17+MAX(MIN(CC31+CD31,Paramètres!$B$18)-Paramètres!$B$17,0)*Paramètres!$C$18+MAX(MIN(CC31+CD31,Paramètres!$B$19)-Paramètres!$B$18,0)*Paramètres!$C$19,0)</f>
        <v>0</v>
      </c>
      <c r="CF31" s="108">
        <f>MAX(MIN(CC31,Paramètres!$B$17)*Paramètres!$C$17+MAX(MIN(CC31,Paramètres!$B$18)-Paramètres!$B$17,0)*Paramètres!$C$18+MAX(MIN(CC31,Paramètres!$B$19)-Paramètres!$B$18,0)*Paramètres!$C$19,0)</f>
        <v>0</v>
      </c>
      <c r="CG31" s="108">
        <f>MAX(CC31+CD31-CF31,0)*(1-Paramètres!$E$17)*Paramètres!$E$18</f>
        <v>0</v>
      </c>
      <c r="CH31" s="54">
        <f>MAX(CC31-CF31,0)*(1-Paramètres!$E$17)*Paramètres!$E$18</f>
        <v>0</v>
      </c>
      <c r="CI31" s="127">
        <f ca="1">OFFSET($AC31,0,VLOOKUP(Simulation!$C$27,Simulation!$Q$5:$R$14,2,FALSE))</f>
        <v>0</v>
      </c>
      <c r="CK31" s="167"/>
      <c r="CL31" s="167"/>
      <c r="CM31" s="167"/>
      <c r="CN31" s="167"/>
      <c r="CO31" s="167"/>
      <c r="CP31" s="167"/>
      <c r="CQ31" s="167"/>
      <c r="CR31" s="167"/>
      <c r="CS31" s="167"/>
      <c r="CT31" s="167"/>
      <c r="CU31" s="167"/>
      <c r="CV31" s="167"/>
    </row>
    <row r="32" spans="2:100" x14ac:dyDescent="0.2">
      <c r="B32" s="40">
        <f t="shared" si="0"/>
        <v>25</v>
      </c>
      <c r="C32" s="143">
        <f>SUMPRODUCT('Détail trésorerie'!$H$8:$H$367*('Détail trésorerie'!$B$8:$B$367&gt;$B31*12)*('Détail trésorerie'!$B$8:$B$367&lt;=$B32*12))</f>
        <v>0</v>
      </c>
      <c r="D32" s="143">
        <f>SUMPRODUCT('Détail trésorerie'!$E$8:$E$367*('Détail trésorerie'!$B$8:$B$367&gt;$B31*12)*('Détail trésorerie'!$B$8:$B$367&lt;=$B32*12))</f>
        <v>0</v>
      </c>
      <c r="E32" s="144">
        <f>SUMPRODUCT('Détail trésorerie'!$J$8:$J$367*('Détail trésorerie'!$B$8:$B$367&gt;$B31*12)*('Détail trésorerie'!$B$8:$B$367&lt;=$B32*12))</f>
        <v>0</v>
      </c>
      <c r="F32" s="144">
        <f>SUMPRODUCT('Détail trésorerie'!$K$8:$K$367*('Détail trésorerie'!$B$8:$B$367&gt;$B31*12)*('Détail trésorerie'!$B$8:$B$367&lt;=$B32*12))</f>
        <v>0</v>
      </c>
      <c r="G32" s="144">
        <f>SUMPRODUCT('Détail trésorerie'!$L$8:$L$367*('Détail trésorerie'!$B$8:$B$367&gt;$B31*12)*('Détail trésorerie'!$B$8:$B$367&lt;=$B32*12))</f>
        <v>0</v>
      </c>
      <c r="H32" s="145">
        <f>SUMPRODUCT('Détail trésorerie'!$M$8:$M$367*('Détail trésorerie'!$B$8:$B$367&gt;$B31*12)*('Détail trésorerie'!$B$8:$B$367&lt;=$B32*12))</f>
        <v>0</v>
      </c>
      <c r="I32" s="126">
        <f>MAX(MIN(Paramètres!$E$3*Simulation!$C$7*Paramètres!$C$3,Simulation!$C$7*Paramètres!$E$3-SUM(I$8:$I31)),0)*(B32&lt;=Simulation!$F$24)</f>
        <v>0</v>
      </c>
      <c r="J32" s="108">
        <f>MAX(MIN(Paramètres!$E$4*Simulation!$C$7*Paramètres!$C$4,Simulation!$C$7*Paramètres!$E$4-SUM($J$8:J31)),0)*(B32&lt;=Simulation!$F$24)</f>
        <v>0</v>
      </c>
      <c r="K32" s="108">
        <f>MAX(MIN(Paramètres!$E$5*Simulation!$C$8*Paramètres!$C$5,Paramètres!$E$5*Simulation!$C$8-SUM($K$8:K31)),0)*(B32&lt;=Simulation!$F$24)</f>
        <v>0</v>
      </c>
      <c r="L32" s="108">
        <v>0</v>
      </c>
      <c r="M32" s="108">
        <v>0</v>
      </c>
      <c r="N32" s="108">
        <f>MAX(MIN(Paramètres!$C$6*(Simulation!$C$10+Simulation!$C$11+Simulation!$C$12),(Simulation!$C$10+Simulation!$C$11+Simulation!$C$12)-SUM(N$8:N31)),0)*(B32&lt;=Simulation!$F$24)</f>
        <v>0</v>
      </c>
      <c r="O32" s="148">
        <f>25000*8/2*(1+Emprunteur!$F$7)^$B32</f>
        <v>128243.19950172343</v>
      </c>
      <c r="P32" s="165">
        <f>0*(1+Emprunteur!$F$8)^$B32</f>
        <v>0</v>
      </c>
      <c r="Q32" s="165">
        <f>0*(1+Emprunteur!$F$9)^$B32</f>
        <v>0</v>
      </c>
      <c r="R32" s="165">
        <f>0*(1+Emprunteur!$F$10)^$B32</f>
        <v>0</v>
      </c>
      <c r="S32" s="108">
        <f t="shared" si="5"/>
        <v>128243.19950172343</v>
      </c>
      <c r="T32" s="157">
        <v>1</v>
      </c>
      <c r="U32" s="157">
        <v>1</v>
      </c>
      <c r="V32" s="108">
        <f>(MAX(MIN(Paramètres!$B$9,S32/T32),0)*Paramètres!$C$9+MAX(MIN(Paramètres!$B$10,S32/T32)-Paramètres!$B$9,0)*Paramètres!$C$10+MAX(MIN(Paramètres!$B$11,S32/T32)-Paramètres!$B$10,0)*Paramètres!$C$11+MAX(MIN(Paramètres!$B$12,S32/T32)-Paramètres!$B$11,0)*Paramètres!$C$12+MAX(MIN(Paramètres!$B$13,S32/T32)-Paramètres!$B$12,0)*Paramètres!$C$13)*T32</f>
        <v>37530.721795706602</v>
      </c>
      <c r="W32" s="108">
        <f>(MAX(MIN(Paramètres!$B$9,S32/U32),0)*Paramètres!$C$9+MAX(MIN(Paramètres!$B$10,S32/U32)-Paramètres!$B$9,0)*Paramètres!$C$10+MAX(MIN(Paramètres!$B$11,S32/U32)-Paramètres!$B$10,0)*Paramètres!$C$11+MAX(MIN(Paramètres!$B$12,S32/U32)-Paramètres!$B$11,0)*Paramètres!$C$12+MAX(MIN(Paramètres!$B$13,S32/U32)-Paramètres!$B$12,0)*Paramètres!$C$13)*U32</f>
        <v>37530.721795706602</v>
      </c>
      <c r="X32" s="108">
        <f>MAX(V32,W32-Paramètres!$E$13*(T32-U32)*2)+MAX(P32,0)*Paramètres!$E$9+MAX(Q32,0)*Paramètres!$E$9+MAX(R32*Paramètres!$E$12,Paramètres!$E$11)</f>
        <v>38675.721795706602</v>
      </c>
      <c r="Y32" s="126">
        <f>(C32-SUM(D32:N32)+MIN(Y31,0))*(B32&lt;=Simulation!$F$24)</f>
        <v>0</v>
      </c>
      <c r="Z32" s="108">
        <f>(MAX(MIN(Paramètres!$B$9,(O32+MAX(P32,0)+MAX(Q32+Y32,0)+R32)/T32),0)*Paramètres!$C$9+MAX(MIN(Paramètres!$B$10,(O32+MAX(P32,0)+MAX(Q32+Y32,0)+R32)/T32)-Paramètres!$B$9,0)*Paramètres!$C$10+MAX(MIN(Paramètres!$B$11,(O32+MAX(P32,0)+MAX(Q32+Y32,0)+R32)/T32)-Paramètres!$B$10,0)*Paramètres!$C$11+MAX(MIN(Paramètres!$B$12,(O32+MAX(P32,0)+MAX(Q32+Y32,0)+R32)/T32)-Paramètres!$B$11,0)*Paramètres!$C$12+MAX(MIN(Paramètres!$B$13,(O32+MAX(P32,0)+MAX(Q32+Y32,0)+R32)/T32)-Paramètres!$B$12,0)*Paramètres!$C$13)*T32</f>
        <v>37530.721795706602</v>
      </c>
      <c r="AA32" s="108">
        <f>(MAX(MIN(Paramètres!$B$9,(O32+MAX(P32,0)+MAX(Q32+Y32,0)+R32)/U32),0)*Paramètres!$C$9+MAX(MIN(Paramètres!$B$10,(O32+MAX(P32,0)+MAX(Q32+Y32,0)+R32)/U32)-Paramètres!$B$9,0)*Paramètres!$C$10+MAX(MIN(Paramètres!$B$11,(O32+MAX(P32,0)+MAX(Q32+Y32,0)+R32)/U32)-Paramètres!$B$10,0)*Paramètres!$C$11+MAX(MIN(Paramètres!$B$12,(O32+MAX(P32,0)+MAX(Q32+Y32,0)+R32)/U32)-Paramètres!$B$11,0)*Paramètres!$C$12+MAX(MIN(Paramètres!$B$13,(O32+MAX(P32,0)+MAX(Q32+Y32,0)+R32)/U32)-Paramètres!$B$12,0)*Paramètres!$C$13)*U32</f>
        <v>37530.721795706602</v>
      </c>
      <c r="AB32" s="108">
        <f>MAX(Z32,AA32-Paramètres!$E$13*(T32-U32)*2)+MAX(P32,0)*Paramètres!$E$9+MAX(Q32+Y32,0)*Paramètres!$E$9+MAX(R32*Paramètres!$E$12,Paramètres!$E$11)</f>
        <v>38675.721795706602</v>
      </c>
      <c r="AC32" s="108">
        <f t="shared" si="6"/>
        <v>0</v>
      </c>
      <c r="AD32" s="149">
        <f t="shared" si="1"/>
        <v>0</v>
      </c>
      <c r="AE32" s="108">
        <f>(MAX(MIN(Paramètres!$B$9,(O32+MAX(P32,0)+MAX(Q32+AD32,0)+R32)/T32),0)*Paramètres!$C$9+MAX(MIN(Paramètres!$B$10,(O32+MAX(P32,0)+MAX(Q32+AD32,0)+R32)/T32)-Paramètres!$B$9,0)*Paramètres!$C$10+MAX(MIN(Paramètres!$B$11,(O32+MAX(P32,0)+MAX(Q32+AD32,0)+R32)/T32)-Paramètres!$B$10,0)*Paramètres!$C$11+MAX(MIN(Paramètres!$B$12,(O32+MAX(P32,0)+MAX(Q32+AD32,0)+R32)/T32)-Paramètres!$B$11,0)*Paramètres!$C$12+MAX(MIN(Paramètres!$B$13,(O32+MAX(P32,0)+MAX(Q32+AD32,0)+R32)/T32)-Paramètres!$B$12,0)*Paramètres!$C$13)*T32</f>
        <v>37530.721795706602</v>
      </c>
      <c r="AF32" s="108">
        <f>(MAX(MIN(Paramètres!$B$9,(O32+MAX(P32,0)+MAX(Q32+AD32,0)+R32)/U32),0)*Paramètres!$C$9+MAX(MIN(Paramètres!$B$10,(O32+MAX(P32,0)+MAX(Q32+AD32,0)+R32)/U32)-Paramètres!$B$9,0)*Paramètres!$C$10+MAX(MIN(Paramètres!$B$11,(O32+MAX(P32,0)+MAX(Q32+AD32,0)+R32)/U32)-Paramètres!$B$10,0)*Paramètres!$C$11+MAX(MIN(Paramètres!$B$12,(O32+MAX(P32,0)+MAX(Q32+AD32,0)+R32)/U32)-Paramètres!$B$11,0)*Paramètres!$C$12+MAX(MIN(Paramètres!$B$13,(O32+MAX(P32,0)+MAX(Q32+AD32,0)+R32)/U32)-Paramètres!$B$12,0)*Paramètres!$C$13)*U32</f>
        <v>37530.721795706602</v>
      </c>
      <c r="AG32" s="108">
        <f>MAX(AE32,AF32-Paramètres!$E$13*(T32-U32)*2)+MAX(P32,0)*Paramètres!$E$9+MAX(Q32+AD32,0)*Paramètres!$E$9+MAX(R32*Paramètres!$E$12,Paramètres!$E$11)</f>
        <v>38675.721795706602</v>
      </c>
      <c r="AH32" s="150">
        <f t="shared" si="7"/>
        <v>0</v>
      </c>
      <c r="AI32" s="149">
        <f t="shared" si="8"/>
        <v>0</v>
      </c>
      <c r="AJ32" s="108">
        <f>(MAX(MIN(Paramètres!$B$9,(O32+MAX(P32,0)+MAX(Q32+AI32,0)+R32)/T32),0)*Paramètres!$C$9+MAX(MIN(Paramètres!$B$10,(O32+MAX(P32,0)+MAX(Q32+AI32,0)+R32)/T32)-Paramètres!$B$9,0)*Paramètres!$C$10+MAX(MIN(Paramètres!$B$11,(O32+MAX(P32,0)+MAX(Q32+AI32,0)+R32)/T32)-Paramètres!$B$10,0)*Paramètres!$C$11+MAX(MIN(Paramètres!$B$12,(O32+MAX(P32,0)+MAX(Q32+AI32,0)+R32)/T32)-Paramètres!$B$11,0)*Paramètres!$C$12+MAX(MIN(Paramètres!$B$13,(O32+MAX(P32,0)+MAX(Q32+AI32,0)+R32)/T32)-Paramètres!$B$12,0)*Paramètres!$C$13)*T32</f>
        <v>37530.721795706602</v>
      </c>
      <c r="AK32" s="108">
        <f>(MAX(MIN(Paramètres!$B$9,(O32+MAX(P32,0)+MAX(Q32+AI32,0)+R32)/U32),0)*Paramètres!$C$9+MAX(MIN(Paramètres!$B$10,(O32+MAX(P32,0)+MAX(Q32+AI32,0)+R32)/U32)-Paramètres!$B$9,0)*Paramètres!$C$10+MAX(MIN(Paramètres!$B$11,(O32+MAX(P32,0)+MAX(Q32+AI32,0)+R32)/U32)-Paramètres!$B$10,0)*Paramètres!$C$11+MAX(MIN(Paramètres!$B$12,(O32+MAX(P32,0)+MAX(Q32+AI32,0)+R32)/U32)-Paramètres!$B$11,0)*Paramètres!$C$12+MAX(MIN(Paramètres!$B$13,(O32+MAX(P32,0)+MAX(Q32+AI32,0)+R32)/U32)-Paramètres!$B$12,0)*Paramètres!$C$13)*U32</f>
        <v>37530.721795706602</v>
      </c>
      <c r="AL32" s="108">
        <f>MAX(AJ32,AK32-Paramètres!$E$13*(T32-U32)*2)+MAX(P32,0)*Paramètres!$E$9+MAX(Q32+AI32,0)*Paramètres!$E$9+MAX(R32*Paramètres!$E$12,Paramètres!$E$11)</f>
        <v>38675.721795706602</v>
      </c>
      <c r="AM32" s="150">
        <f>MAX(AL32-11%/9*Simulation!$C$7*(B32&lt;=9),0)-X32</f>
        <v>0</v>
      </c>
      <c r="AN32" s="149">
        <f>MAX(MAX(C32-D32,0)-SUM(E32:H32),-MIN(SUM(O32:R32),Paramètres!$E$19+MAX(P32,0)))</f>
        <v>0</v>
      </c>
      <c r="AO32" s="108">
        <f t="shared" si="18"/>
        <v>0</v>
      </c>
      <c r="AP32" s="108">
        <f t="shared" si="22"/>
        <v>0</v>
      </c>
      <c r="AQ32" s="108">
        <f t="shared" si="9"/>
        <v>0</v>
      </c>
      <c r="AR32" s="108">
        <f t="shared" si="10"/>
        <v>0</v>
      </c>
      <c r="AS32" s="108">
        <f>(MAX(MIN(Paramètres!$B$9,(O32+P32+AQ32+MAX(Q32,0)+R32)/T32),0)*Paramètres!$C$9+MAX(MIN(Paramètres!$B$10,(O32+P32+AQ32+MAX(Q32,0)+R32)/T32)-Paramètres!$B$9,0)*Paramètres!$C$10+MAX(MIN(Paramètres!$B$11,(O32+P32+AQ32+MAX(Q32,0)+R32)/T32)-Paramètres!$B$10,0)*Paramètres!$C$11+MAX(MIN(Paramètres!$B$12,(O32+P32+AQ32+MAX(Q32,0)+R32)/T32)-Paramètres!$B$11,0)*Paramètres!$C$12+MAX(MIN(Paramètres!$B$13,(O32+P32+AQ32+MAX(Q32,0)+R32)/T32)-Paramètres!$B$12,0)*Paramètres!$C$13)*T32</f>
        <v>37530.721795706602</v>
      </c>
      <c r="AT32" s="108">
        <f>(MAX(MIN(Paramètres!$B$9,(O32+P32+AQ32+MAX(Q32,0)+R32)/U32),0)*Paramètres!$C$9+MAX(MIN(Paramètres!$B$10,(O32+P32+AQ32+MAX(Q32,0)+R32)/U32)-Paramètres!$B$9,0)*Paramètres!$C$10+MAX(MIN(Paramètres!$B$11,(O32+P32+AQ32+MAX(Q32,0)+R32)/U32)-Paramètres!$B$10,0)*Paramètres!$C$11+MAX(MIN(Paramètres!$B$12,(O32+P32+AQ32+MAX(Q32,0)+R32)/U32)-Paramètres!$B$11,0)*Paramètres!$C$12+MAX(MIN(Paramètres!$B$13,(O32+P32+AQ32+MAX(Q32,0)+R32)/U32)-Paramètres!$B$12,0)*Paramètres!$C$13)*U32</f>
        <v>37530.721795706602</v>
      </c>
      <c r="AU32" s="108">
        <f>MAX(AS32,AT32-Paramètres!$E$13*(T32-U32)*2)+MAX(P32+AQ32,0)*Paramètres!$E$9+MAX(Q32,0)*Paramètres!$E$9+MAX(R32*Paramètres!$E$12,Paramètres!$E$11)</f>
        <v>38675.721795706602</v>
      </c>
      <c r="AV32" s="150">
        <f t="shared" si="2"/>
        <v>0</v>
      </c>
      <c r="AW32" s="108">
        <f t="shared" si="3"/>
        <v>0</v>
      </c>
      <c r="AX32" s="108">
        <f>(MAX(MIN(Paramètres!$B$9,(O32+MAX(P32+AW32,0)+MAX(Q32,0)+R32)/T32),0)*Paramètres!$C$9+MAX(MIN(Paramètres!$B$10,(O32+MAX(P32+AW32,0)+MAX(Q32,0)+R32)/T32)-Paramètres!$B$9,0)*Paramètres!$C$10+MAX(MIN(Paramètres!$B$11,(O32+MAX(P32+AW32,0)+MAX(Q32,0)+R32)/T32)-Paramètres!$B$10,0)*Paramètres!$C$11+MAX(MIN(Paramètres!$B$12,(O32+MAX(P32+AW32,0)+MAX(Q32,0)+R32)/T32)-Paramètres!$B$11,0)*Paramètres!$C$12+MAX(MIN(Paramètres!$B$13,(O32+MAX(P32+AW32,0)+MAX(Q32,0)+R32)/T32)-Paramètres!$B$12,0)*Paramètres!$C$13)*T32</f>
        <v>37530.721795706602</v>
      </c>
      <c r="AY32" s="108">
        <f>(MAX(MIN(Paramètres!$B$9,(O32+MAX(P32+AW32,0)+MAX(Q32,0)+R32)/U32),0)*Paramètres!$C$9+MAX(MIN(Paramètres!$B$10,(O32+MAX(P32+AW32,0)+MAX(Q32,0)+R32)/U32)-Paramètres!$B$9,0)*Paramètres!$C$10+MAX(MIN(Paramètres!$B$11,(O32+MAX(P32+AW32,0)+MAX(Q32,0)+R32)/U32)-Paramètres!$B$10,0)*Paramètres!$C$11+MAX(MIN(Paramètres!$B$12,(O32+MAX(P32+AW32,0)+MAX(Q32,0)+R32)/U32)-Paramètres!$B$11,0)*Paramètres!$C$12+MAX(MIN(Paramètres!$B$13,(O32+MAX(P32+AW32,0)+MAX(Q32,0)+R32)/U32)-Paramètres!$B$12,0)*Paramètres!$C$13)*U32</f>
        <v>37530.721795706602</v>
      </c>
      <c r="AZ32" s="108">
        <f>MAX(AX32,AY32-Paramètres!$E$13*(T32-U32)*2)+MAX(P32+AW32,0)*Paramètres!$E$9+MAX(Q32,0)*Paramètres!$E$9+MAX(R32*Paramètres!$E$12,Paramètres!$E$11)</f>
        <v>38675.721795706602</v>
      </c>
      <c r="BA32" s="108">
        <f t="shared" si="4"/>
        <v>0</v>
      </c>
      <c r="BB32" s="149">
        <f>MAX(MAX(C32-D32,0)-SUM(E32:H32),-MIN(SUM(O32:R32),Paramètres!$E$19+MAX(P32,0)))</f>
        <v>0</v>
      </c>
      <c r="BC32" s="108">
        <f t="shared" si="20"/>
        <v>0</v>
      </c>
      <c r="BD32" s="108">
        <f t="shared" si="23"/>
        <v>0</v>
      </c>
      <c r="BE32" s="108">
        <f t="shared" si="11"/>
        <v>0</v>
      </c>
      <c r="BF32" s="108">
        <f t="shared" si="12"/>
        <v>0</v>
      </c>
      <c r="BG32" s="108">
        <f>(MAX(MIN(Paramètres!$B$9,(O32+P32+BE32+MAX(Q32,0)+R32)/T32),0)*Paramètres!$C$9+MAX(MIN(Paramètres!$B$10,(O32+P32+BE32+MAX(Q32,0)+R32)/T32)-Paramètres!$B$9,0)*Paramètres!$C$10+MAX(MIN(Paramètres!$B$11,(O32+P32+BE32+MAX(Q32,0)+R32)/T32)-Paramètres!$B$10,0)*Paramètres!$C$11+MAX(MIN(Paramètres!$B$12,(O32+P32+BE32+MAX(Q32,0)+R32)/T32)-Paramètres!$B$11,0)*Paramètres!$C$12+MAX(MIN(Paramètres!$B$13,(O32+P32+BE32+MAX(Q32,0)+R32)/T32)-Paramètres!$B$12,0)*Paramètres!$C$13)*T32</f>
        <v>37530.721795706602</v>
      </c>
      <c r="BH32" s="108">
        <f>(MAX(MIN(Paramètres!$B$9,(O32+P32+BE32+MAX(Q32,0)+R32)/U32),0)*Paramètres!$C$9+MAX(MIN(Paramètres!$B$10,(O32+P32+BE32+MAX(Q32,0)+R32)/U32)-Paramètres!$B$9,0)*Paramètres!$C$10+MAX(MIN(Paramètres!$B$11,(O32+P32+BE32+MAX(Q32,0)+R32)/U32)-Paramètres!$B$10,0)*Paramètres!$C$11+MAX(MIN(Paramètres!$B$12,(O32+P32+BE32+MAX(Q32,0)+R32)/U32)-Paramètres!$B$11,0)*Paramètres!$C$12+MAX(MIN(Paramètres!$B$13,(O32+P32+BE32+MAX(Q32,0)+R32)/U32)-Paramètres!$B$12,0)*Paramètres!$C$13)*U32</f>
        <v>37530.721795706602</v>
      </c>
      <c r="BI32" s="108">
        <f>MAX(BG32,BH32-Paramètres!$E$13*(T32-U32)*2)+MAX(P32+BE32,0)*Paramètres!$E$9+MAX(Q32,0)*Paramètres!$E$9+MAX(R32*Paramètres!$E$12,Paramètres!$E$11)</f>
        <v>38675.721795706602</v>
      </c>
      <c r="BJ32" s="150">
        <f>MAX(BI32-IFERROR(VLOOKUP(B32,Paramètres!$B$28:$C$39,2,FALSE),0)*MIN(MIN((Simulation!$C$7+Simulation!$C$12+Simulation!$C$8+Simulation!$C$10)/Simulation!$C$28,Paramètres!$C$26)*Simulation!$C$28,Paramètres!$C$25),0)-X32</f>
        <v>0</v>
      </c>
      <c r="BK32" s="108">
        <f t="shared" si="13"/>
        <v>0</v>
      </c>
      <c r="BL32" s="108">
        <f>(MAX(MIN(Paramètres!$B$9,(O32+MAX(P32+BK32,0)+MAX(Q32,0)+R32)/T32),0)*Paramètres!$C$9+MAX(MIN(Paramètres!$B$10,(O32+MAX(P32+BK32,0)+MAX(Q32,0)+R32)/T32)-Paramètres!$B$9,0)*Paramètres!$C$10+MAX(MIN(Paramètres!$B$11,(O32+MAX(P32+BK32,0)+MAX(Q32,0)+R32)/T32)-Paramètres!$B$10,0)*Paramètres!$C$11+MAX(MIN(Paramètres!$B$12,(O32+MAX(P32+BK32,0)+MAX(Q32,0)+R32)/T32)-Paramètres!$B$11,0)*Paramètres!$C$12+MAX(MIN(Paramètres!$B$13,(O32+MAX(P32+BK32,0)+MAX(Q32,0)+R32)/T32)-Paramètres!$B$12,0)*Paramètres!$C$13)*T32</f>
        <v>37530.721795706602</v>
      </c>
      <c r="BM32" s="108">
        <f>(MAX(MIN(Paramètres!$B$9,(O32+MAX(P32+BK32,0)+MAX(Q32,0)+R32)/U32),0)*Paramètres!$C$9+MAX(MIN(Paramètres!$B$10,(O32+MAX(P32+BK32,0)+MAX(Q32,0)+R32)/U32)-Paramètres!$B$9,0)*Paramètres!$C$10+MAX(MIN(Paramètres!$B$11,(O32+MAX(P32+BK32,0)+MAX(Q32,0)+R32)/U32)-Paramètres!$B$10,0)*Paramètres!$C$11+MAX(MIN(Paramètres!$B$12,(O32+MAX(P32+BK32,0)+MAX(Q32,0)+R32)/U32)-Paramètres!$B$11,0)*Paramètres!$C$12+MAX(MIN(Paramètres!$B$13,(O32+MAX(P32+BK32,0)+MAX(Q32,0)+R32)/U32)-Paramètres!$B$12,0)*Paramètres!$C$13)*U32</f>
        <v>37530.721795706602</v>
      </c>
      <c r="BN32" s="108">
        <f>MAX(BL32,BM32-Paramètres!$E$13*(T32-U32)*2)+MAX(P32+BK32,0)*Paramètres!$E$9+MAX(Q32,0)*Paramètres!$E$9+MAX(R32*Paramètres!$E$12,Paramètres!$E$11)</f>
        <v>38675.721795706602</v>
      </c>
      <c r="BO32" s="108">
        <f>MAX(BN32-IFERROR(VLOOKUP(B32,Paramètres!$B$28:$C$39,2,FALSE),0)*MIN(MIN((Simulation!$C$7+Simulation!$C$12+Simulation!$C$8+Simulation!$C$10)/Simulation!$C$28,Paramètres!$C$26)*Simulation!$C$28,Paramètres!$C$25),0)-X32</f>
        <v>0</v>
      </c>
      <c r="BP32" s="126">
        <f t="shared" si="14"/>
        <v>0</v>
      </c>
      <c r="BQ32" s="108">
        <f t="shared" si="15"/>
        <v>0</v>
      </c>
      <c r="BR32" s="108">
        <f t="shared" si="21"/>
        <v>0</v>
      </c>
      <c r="BS32" s="108">
        <f t="shared" si="19"/>
        <v>0</v>
      </c>
      <c r="BT32" s="108">
        <f t="shared" si="16"/>
        <v>0</v>
      </c>
      <c r="BU32" s="108">
        <f>(MAX(MIN(Paramètres!$B$9,(O32+MAX(P32,0)+MAX(Q32,0)+R32+BS32)/T32),0)*Paramètres!$C$9+MAX(MIN(Paramètres!$B$10,(O32+MAX(P32,0)+MAX(Q32,0)+R32+BS32)/T32)-Paramètres!$B$9,0)*Paramètres!$C$10+MAX(MIN(Paramètres!$B$11,(O32+MAX(P32,0)+MAX(Q32,0)+R32+BS32)/T32)-Paramètres!$B$10,0)*Paramètres!$C$11+MAX(MIN(Paramètres!$B$12,(O32+MAX(P32,0)+MAX(Q32,0)+R32+BS32)/T32)-Paramètres!$B$11,0)*Paramètres!$C$12+MAX(MIN(Paramètres!$B$13,(O32+MAX(P32,0)+MAX(Q32,0)+R32+BS32)/T32)-Paramètres!$B$12,0)*Paramètres!$C$13)*T32</f>
        <v>37530.721795706602</v>
      </c>
      <c r="BV32" s="108">
        <f>(MAX(MIN(Paramètres!$B$9,(O32+MAX(P32,0)+MAX(Q32,0)+R32+BS32)/U32),0)*Paramètres!$C$9+MAX(MIN(Paramètres!$B$10,(O32+MAX(P32,0)+MAX(Q32,0)+R32+BS32)/U32)-Paramètres!$B$9,0)*Paramètres!$C$10+MAX(MIN(Paramètres!$B$11,(O32+MAX(P32,0)+MAX(Q32,0)+R32+BS32)/U32)-Paramètres!$B$10,0)*Paramètres!$C$11+MAX(MIN(Paramètres!$B$12,(O32+MAX(P32,0)+MAX(Q32,0)+R32+BS32)/U32)-Paramètres!$B$11,0)*Paramètres!$C$12+MAX(MIN(Paramètres!$B$13,(O32+MAX(P32,0)+MAX(Q32,0)+R32+BS32)/U32)-Paramètres!$B$12,0)*Paramètres!$C$13)*U32</f>
        <v>37530.721795706602</v>
      </c>
      <c r="BW32" s="108">
        <f>MAX(BU32,BV32-Paramètres!$E$13*(T32-U32)*2)+MAX(P32,0)*Paramètres!$E$9+MAX(Q32,0)*Paramètres!$E$9+MAX((R32+BS32)*Paramètres!$E$12,Paramètres!$E$11)</f>
        <v>38675.721795706602</v>
      </c>
      <c r="BX32" s="108">
        <f t="shared" si="17"/>
        <v>0</v>
      </c>
      <c r="BY32" s="149">
        <f>(C32-SUM(D32:N32)+MIN(BY31,0))*(B32&lt;=Simulation!$F$24)</f>
        <v>0</v>
      </c>
      <c r="BZ32" s="108">
        <f>(Simulation!$F$22-(Simulation!$C$13-SUM($I$8:$N$37)))*(B32=Simulation!$F$24)</f>
        <v>0</v>
      </c>
      <c r="CA32" s="108">
        <f>MAX(MIN(BY32+BZ32,Paramètres!$B$17)*Paramètres!$C$17+MAX(MIN(BY32+BZ32,Paramètres!$B$18)-Paramètres!$B$17,0)*Paramètres!$C$18+MAX(MIN(BY32+BZ32,Paramètres!$B$19)-Paramètres!$B$18,0)*Paramètres!$C$19,0)</f>
        <v>0</v>
      </c>
      <c r="CB32" s="150">
        <f>MAX(MIN(BY32,Paramètres!$B$17)*Paramètres!$C$17+MAX(MIN(BY32,Paramètres!$B$18)-Paramètres!$B$17,0)*Paramètres!$C$18+MAX(MIN(BY32,Paramètres!$B$19)-Paramètres!$B$18,0)*Paramètres!$C$19,0)</f>
        <v>0</v>
      </c>
      <c r="CC32" s="108">
        <f>(C32-SUM(D32:N32)+MIN(CC31,0))*(B32&lt;=Simulation!$F$24)</f>
        <v>0</v>
      </c>
      <c r="CD32" s="108">
        <f>(Simulation!$F$22-(Simulation!$C$13-SUM($I$8:$N$37)))*(B32=Simulation!$F$24)</f>
        <v>0</v>
      </c>
      <c r="CE32" s="108">
        <f>MAX(MIN(CC32+CD32,Paramètres!$B$17)*Paramètres!$C$17+MAX(MIN(CC32+CD32,Paramètres!$B$18)-Paramètres!$B$17,0)*Paramètres!$C$18+MAX(MIN(CC32+CD32,Paramètres!$B$19)-Paramètres!$B$18,0)*Paramètres!$C$19,0)</f>
        <v>0</v>
      </c>
      <c r="CF32" s="108">
        <f>MAX(MIN(CC32,Paramètres!$B$17)*Paramètres!$C$17+MAX(MIN(CC32,Paramètres!$B$18)-Paramètres!$B$17,0)*Paramètres!$C$18+MAX(MIN(CC32,Paramètres!$B$19)-Paramètres!$B$18,0)*Paramètres!$C$19,0)</f>
        <v>0</v>
      </c>
      <c r="CG32" s="108">
        <f>MAX(CC32+CD32-CF32,0)*(1-Paramètres!$E$17)*Paramètres!$E$18</f>
        <v>0</v>
      </c>
      <c r="CH32" s="54">
        <f>MAX(CC32-CF32,0)*(1-Paramètres!$E$17)*Paramètres!$E$18</f>
        <v>0</v>
      </c>
      <c r="CI32" s="127">
        <f ca="1">OFFSET($AC32,0,VLOOKUP(Simulation!$C$27,Simulation!$Q$5:$R$14,2,FALSE))</f>
        <v>0</v>
      </c>
    </row>
    <row r="33" spans="2:87" x14ac:dyDescent="0.2">
      <c r="B33" s="40">
        <f t="shared" si="0"/>
        <v>26</v>
      </c>
      <c r="C33" s="143">
        <f>SUMPRODUCT('Détail trésorerie'!$H$8:$H$367*('Détail trésorerie'!$B$8:$B$367&gt;$B32*12)*('Détail trésorerie'!$B$8:$B$367&lt;=$B33*12))</f>
        <v>0</v>
      </c>
      <c r="D33" s="143">
        <f>SUMPRODUCT('Détail trésorerie'!$E$8:$E$367*('Détail trésorerie'!$B$8:$B$367&gt;$B32*12)*('Détail trésorerie'!$B$8:$B$367&lt;=$B33*12))</f>
        <v>0</v>
      </c>
      <c r="E33" s="144">
        <f>SUMPRODUCT('Détail trésorerie'!$J$8:$J$367*('Détail trésorerie'!$B$8:$B$367&gt;$B32*12)*('Détail trésorerie'!$B$8:$B$367&lt;=$B33*12))</f>
        <v>0</v>
      </c>
      <c r="F33" s="144">
        <f>SUMPRODUCT('Détail trésorerie'!$K$8:$K$367*('Détail trésorerie'!$B$8:$B$367&gt;$B32*12)*('Détail trésorerie'!$B$8:$B$367&lt;=$B33*12))</f>
        <v>0</v>
      </c>
      <c r="G33" s="144">
        <f>SUMPRODUCT('Détail trésorerie'!$L$8:$L$367*('Détail trésorerie'!$B$8:$B$367&gt;$B32*12)*('Détail trésorerie'!$B$8:$B$367&lt;=$B33*12))</f>
        <v>0</v>
      </c>
      <c r="H33" s="145">
        <f>SUMPRODUCT('Détail trésorerie'!$M$8:$M$367*('Détail trésorerie'!$B$8:$B$367&gt;$B32*12)*('Détail trésorerie'!$B$8:$B$367&lt;=$B33*12))</f>
        <v>0</v>
      </c>
      <c r="I33" s="126">
        <f>MAX(MIN(Paramètres!$E$3*Simulation!$C$7*Paramètres!$C$3,Simulation!$C$7*Paramètres!$E$3-SUM(I$8:$I32)),0)*(B33&lt;=Simulation!$F$24)</f>
        <v>0</v>
      </c>
      <c r="J33" s="108">
        <f>MAX(MIN(Paramètres!$E$4*Simulation!$C$7*Paramètres!$C$4,Simulation!$C$7*Paramètres!$E$4-SUM($J$8:J32)),0)*(B33&lt;=Simulation!$F$24)</f>
        <v>0</v>
      </c>
      <c r="K33" s="108">
        <f>MAX(MIN(Paramètres!$E$5*Simulation!$C$8*Paramètres!$C$5,Paramètres!$E$5*Simulation!$C$8-SUM($K$8:K32)),0)*(B33&lt;=Simulation!$F$24)</f>
        <v>0</v>
      </c>
      <c r="L33" s="108">
        <v>0</v>
      </c>
      <c r="M33" s="108">
        <v>0</v>
      </c>
      <c r="N33" s="108">
        <f>MAX(MIN(Paramètres!$C$6*(Simulation!$C$10+Simulation!$C$11+Simulation!$C$12),(Simulation!$C$10+Simulation!$C$11+Simulation!$C$12)-SUM(N$8:N32)),0)*(B33&lt;=Simulation!$F$24)</f>
        <v>0</v>
      </c>
      <c r="O33" s="148">
        <f>25000*8/2*(1+Emprunteur!$F$7)^$B33</f>
        <v>129525.63149674065</v>
      </c>
      <c r="P33" s="165">
        <f>0*(1+Emprunteur!$F$8)^$B33</f>
        <v>0</v>
      </c>
      <c r="Q33" s="165">
        <f>0*(1+Emprunteur!$F$9)^$B33</f>
        <v>0</v>
      </c>
      <c r="R33" s="165">
        <f>0*(1+Emprunteur!$F$10)^$B33</f>
        <v>0</v>
      </c>
      <c r="S33" s="108">
        <f t="shared" si="5"/>
        <v>129525.63149674065</v>
      </c>
      <c r="T33" s="157">
        <v>1</v>
      </c>
      <c r="U33" s="157">
        <v>1</v>
      </c>
      <c r="V33" s="108">
        <f>(MAX(MIN(Paramètres!$B$9,S33/T33),0)*Paramètres!$C$9+MAX(MIN(Paramètres!$B$10,S33/T33)-Paramètres!$B$9,0)*Paramètres!$C$10+MAX(MIN(Paramètres!$B$11,S33/T33)-Paramètres!$B$10,0)*Paramètres!$C$11+MAX(MIN(Paramètres!$B$12,S33/T33)-Paramètres!$B$11,0)*Paramètres!$C$12+MAX(MIN(Paramètres!$B$13,S33/T33)-Paramètres!$B$12,0)*Paramètres!$C$13)*T33</f>
        <v>38056.518913663662</v>
      </c>
      <c r="W33" s="108">
        <f>(MAX(MIN(Paramètres!$B$9,S33/U33),0)*Paramètres!$C$9+MAX(MIN(Paramètres!$B$10,S33/U33)-Paramètres!$B$9,0)*Paramètres!$C$10+MAX(MIN(Paramètres!$B$11,S33/U33)-Paramètres!$B$10,0)*Paramètres!$C$11+MAX(MIN(Paramètres!$B$12,S33/U33)-Paramètres!$B$11,0)*Paramètres!$C$12+MAX(MIN(Paramètres!$B$13,S33/U33)-Paramètres!$B$12,0)*Paramètres!$C$13)*U33</f>
        <v>38056.518913663662</v>
      </c>
      <c r="X33" s="108">
        <f>MAX(V33,W33-Paramètres!$E$13*(T33-U33)*2)+MAX(P33,0)*Paramètres!$E$9+MAX(Q33,0)*Paramètres!$E$9+MAX(R33*Paramètres!$E$12,Paramètres!$E$11)</f>
        <v>39201.518913663662</v>
      </c>
      <c r="Y33" s="126">
        <f>(C33-SUM(D33:N33)+MIN(Y32,0))*(B33&lt;=Simulation!$F$24)</f>
        <v>0</v>
      </c>
      <c r="Z33" s="108">
        <f>(MAX(MIN(Paramètres!$B$9,(O33+MAX(P33,0)+MAX(Q33+Y33,0)+R33)/T33),0)*Paramètres!$C$9+MAX(MIN(Paramètres!$B$10,(O33+MAX(P33,0)+MAX(Q33+Y33,0)+R33)/T33)-Paramètres!$B$9,0)*Paramètres!$C$10+MAX(MIN(Paramètres!$B$11,(O33+MAX(P33,0)+MAX(Q33+Y33,0)+R33)/T33)-Paramètres!$B$10,0)*Paramètres!$C$11+MAX(MIN(Paramètres!$B$12,(O33+MAX(P33,0)+MAX(Q33+Y33,0)+R33)/T33)-Paramètres!$B$11,0)*Paramètres!$C$12+MAX(MIN(Paramètres!$B$13,(O33+MAX(P33,0)+MAX(Q33+Y33,0)+R33)/T33)-Paramètres!$B$12,0)*Paramètres!$C$13)*T33</f>
        <v>38056.518913663662</v>
      </c>
      <c r="AA33" s="108">
        <f>(MAX(MIN(Paramètres!$B$9,(O33+MAX(P33,0)+MAX(Q33+Y33,0)+R33)/U33),0)*Paramètres!$C$9+MAX(MIN(Paramètres!$B$10,(O33+MAX(P33,0)+MAX(Q33+Y33,0)+R33)/U33)-Paramètres!$B$9,0)*Paramètres!$C$10+MAX(MIN(Paramètres!$B$11,(O33+MAX(P33,0)+MAX(Q33+Y33,0)+R33)/U33)-Paramètres!$B$10,0)*Paramètres!$C$11+MAX(MIN(Paramètres!$B$12,(O33+MAX(P33,0)+MAX(Q33+Y33,0)+R33)/U33)-Paramètres!$B$11,0)*Paramètres!$C$12+MAX(MIN(Paramètres!$B$13,(O33+MAX(P33,0)+MAX(Q33+Y33,0)+R33)/U33)-Paramètres!$B$12,0)*Paramètres!$C$13)*U33</f>
        <v>38056.518913663662</v>
      </c>
      <c r="AB33" s="108">
        <f>MAX(Z33,AA33-Paramètres!$E$13*(T33-U33)*2)+MAX(P33,0)*Paramètres!$E$9+MAX(Q33+Y33,0)*Paramètres!$E$9+MAX(R33*Paramètres!$E$12,Paramètres!$E$11)</f>
        <v>39201.518913663662</v>
      </c>
      <c r="AC33" s="108">
        <f t="shared" si="6"/>
        <v>0</v>
      </c>
      <c r="AD33" s="149">
        <f t="shared" si="1"/>
        <v>0</v>
      </c>
      <c r="AE33" s="108">
        <f>(MAX(MIN(Paramètres!$B$9,(O33+MAX(P33,0)+MAX(Q33+AD33,0)+R33)/T33),0)*Paramètres!$C$9+MAX(MIN(Paramètres!$B$10,(O33+MAX(P33,0)+MAX(Q33+AD33,0)+R33)/T33)-Paramètres!$B$9,0)*Paramètres!$C$10+MAX(MIN(Paramètres!$B$11,(O33+MAX(P33,0)+MAX(Q33+AD33,0)+R33)/T33)-Paramètres!$B$10,0)*Paramètres!$C$11+MAX(MIN(Paramètres!$B$12,(O33+MAX(P33,0)+MAX(Q33+AD33,0)+R33)/T33)-Paramètres!$B$11,0)*Paramètres!$C$12+MAX(MIN(Paramètres!$B$13,(O33+MAX(P33,0)+MAX(Q33+AD33,0)+R33)/T33)-Paramètres!$B$12,0)*Paramètres!$C$13)*T33</f>
        <v>38056.518913663662</v>
      </c>
      <c r="AF33" s="108">
        <f>(MAX(MIN(Paramètres!$B$9,(O33+MAX(P33,0)+MAX(Q33+AD33,0)+R33)/U33),0)*Paramètres!$C$9+MAX(MIN(Paramètres!$B$10,(O33+MAX(P33,0)+MAX(Q33+AD33,0)+R33)/U33)-Paramètres!$B$9,0)*Paramètres!$C$10+MAX(MIN(Paramètres!$B$11,(O33+MAX(P33,0)+MAX(Q33+AD33,0)+R33)/U33)-Paramètres!$B$10,0)*Paramètres!$C$11+MAX(MIN(Paramètres!$B$12,(O33+MAX(P33,0)+MAX(Q33+AD33,0)+R33)/U33)-Paramètres!$B$11,0)*Paramètres!$C$12+MAX(MIN(Paramètres!$B$13,(O33+MAX(P33,0)+MAX(Q33+AD33,0)+R33)/U33)-Paramètres!$B$12,0)*Paramètres!$C$13)*U33</f>
        <v>38056.518913663662</v>
      </c>
      <c r="AG33" s="108">
        <f>MAX(AE33,AF33-Paramètres!$E$13*(T33-U33)*2)+MAX(P33,0)*Paramètres!$E$9+MAX(Q33+AD33,0)*Paramètres!$E$9+MAX(R33*Paramètres!$E$12,Paramètres!$E$11)</f>
        <v>39201.518913663662</v>
      </c>
      <c r="AH33" s="150">
        <f t="shared" si="7"/>
        <v>0</v>
      </c>
      <c r="AI33" s="149">
        <f t="shared" si="8"/>
        <v>0</v>
      </c>
      <c r="AJ33" s="108">
        <f>(MAX(MIN(Paramètres!$B$9,(O33+MAX(P33,0)+MAX(Q33+AI33,0)+R33)/T33),0)*Paramètres!$C$9+MAX(MIN(Paramètres!$B$10,(O33+MAX(P33,0)+MAX(Q33+AI33,0)+R33)/T33)-Paramètres!$B$9,0)*Paramètres!$C$10+MAX(MIN(Paramètres!$B$11,(O33+MAX(P33,0)+MAX(Q33+AI33,0)+R33)/T33)-Paramètres!$B$10,0)*Paramètres!$C$11+MAX(MIN(Paramètres!$B$12,(O33+MAX(P33,0)+MAX(Q33+AI33,0)+R33)/T33)-Paramètres!$B$11,0)*Paramètres!$C$12+MAX(MIN(Paramètres!$B$13,(O33+MAX(P33,0)+MAX(Q33+AI33,0)+R33)/T33)-Paramètres!$B$12,0)*Paramètres!$C$13)*T33</f>
        <v>38056.518913663662</v>
      </c>
      <c r="AK33" s="108">
        <f>(MAX(MIN(Paramètres!$B$9,(O33+MAX(P33,0)+MAX(Q33+AI33,0)+R33)/U33),0)*Paramètres!$C$9+MAX(MIN(Paramètres!$B$10,(O33+MAX(P33,0)+MAX(Q33+AI33,0)+R33)/U33)-Paramètres!$B$9,0)*Paramètres!$C$10+MAX(MIN(Paramètres!$B$11,(O33+MAX(P33,0)+MAX(Q33+AI33,0)+R33)/U33)-Paramètres!$B$10,0)*Paramètres!$C$11+MAX(MIN(Paramètres!$B$12,(O33+MAX(P33,0)+MAX(Q33+AI33,0)+R33)/U33)-Paramètres!$B$11,0)*Paramètres!$C$12+MAX(MIN(Paramètres!$B$13,(O33+MAX(P33,0)+MAX(Q33+AI33,0)+R33)/U33)-Paramètres!$B$12,0)*Paramètres!$C$13)*U33</f>
        <v>38056.518913663662</v>
      </c>
      <c r="AL33" s="108">
        <f>MAX(AJ33,AK33-Paramètres!$E$13*(T33-U33)*2)+MAX(P33,0)*Paramètres!$E$9+MAX(Q33+AI33,0)*Paramètres!$E$9+MAX(R33*Paramètres!$E$12,Paramètres!$E$11)</f>
        <v>39201.518913663662</v>
      </c>
      <c r="AM33" s="150">
        <f>MAX(AL33-11%/9*Simulation!$C$7*(B33&lt;=9),0)-X33</f>
        <v>0</v>
      </c>
      <c r="AN33" s="149">
        <f>MAX(MAX(C33-D33,0)-SUM(E33:H33),-MIN(SUM(O33:R33),Paramètres!$E$19+MAX(P33,0)))</f>
        <v>0</v>
      </c>
      <c r="AO33" s="108">
        <f t="shared" si="18"/>
        <v>0</v>
      </c>
      <c r="AP33" s="108">
        <f t="shared" si="22"/>
        <v>0</v>
      </c>
      <c r="AQ33" s="108">
        <f t="shared" si="9"/>
        <v>0</v>
      </c>
      <c r="AR33" s="108">
        <f t="shared" si="10"/>
        <v>0</v>
      </c>
      <c r="AS33" s="108">
        <f>(MAX(MIN(Paramètres!$B$9,(O33+P33+AQ33+MAX(Q33,0)+R33)/T33),0)*Paramètres!$C$9+MAX(MIN(Paramètres!$B$10,(O33+P33+AQ33+MAX(Q33,0)+R33)/T33)-Paramètres!$B$9,0)*Paramètres!$C$10+MAX(MIN(Paramètres!$B$11,(O33+P33+AQ33+MAX(Q33,0)+R33)/T33)-Paramètres!$B$10,0)*Paramètres!$C$11+MAX(MIN(Paramètres!$B$12,(O33+P33+AQ33+MAX(Q33,0)+R33)/T33)-Paramètres!$B$11,0)*Paramètres!$C$12+MAX(MIN(Paramètres!$B$13,(O33+P33+AQ33+MAX(Q33,0)+R33)/T33)-Paramètres!$B$12,0)*Paramètres!$C$13)*T33</f>
        <v>38056.518913663662</v>
      </c>
      <c r="AT33" s="108">
        <f>(MAX(MIN(Paramètres!$B$9,(O33+P33+AQ33+MAX(Q33,0)+R33)/U33),0)*Paramètres!$C$9+MAX(MIN(Paramètres!$B$10,(O33+P33+AQ33+MAX(Q33,0)+R33)/U33)-Paramètres!$B$9,0)*Paramètres!$C$10+MAX(MIN(Paramètres!$B$11,(O33+P33+AQ33+MAX(Q33,0)+R33)/U33)-Paramètres!$B$10,0)*Paramètres!$C$11+MAX(MIN(Paramètres!$B$12,(O33+P33+AQ33+MAX(Q33,0)+R33)/U33)-Paramètres!$B$11,0)*Paramètres!$C$12+MAX(MIN(Paramètres!$B$13,(O33+P33+AQ33+MAX(Q33,0)+R33)/U33)-Paramètres!$B$12,0)*Paramètres!$C$13)*U33</f>
        <v>38056.518913663662</v>
      </c>
      <c r="AU33" s="108">
        <f>MAX(AS33,AT33-Paramètres!$E$13*(T33-U33)*2)+MAX(P33+AQ33,0)*Paramètres!$E$9+MAX(Q33,0)*Paramètres!$E$9+MAX(R33*Paramètres!$E$12,Paramètres!$E$11)</f>
        <v>39201.518913663662</v>
      </c>
      <c r="AV33" s="150">
        <f t="shared" si="2"/>
        <v>0</v>
      </c>
      <c r="AW33" s="108">
        <f t="shared" si="3"/>
        <v>0</v>
      </c>
      <c r="AX33" s="108">
        <f>(MAX(MIN(Paramètres!$B$9,(O33+MAX(P33+AW33,0)+MAX(Q33,0)+R33)/T33),0)*Paramètres!$C$9+MAX(MIN(Paramètres!$B$10,(O33+MAX(P33+AW33,0)+MAX(Q33,0)+R33)/T33)-Paramètres!$B$9,0)*Paramètres!$C$10+MAX(MIN(Paramètres!$B$11,(O33+MAX(P33+AW33,0)+MAX(Q33,0)+R33)/T33)-Paramètres!$B$10,0)*Paramètres!$C$11+MAX(MIN(Paramètres!$B$12,(O33+MAX(P33+AW33,0)+MAX(Q33,0)+R33)/T33)-Paramètres!$B$11,0)*Paramètres!$C$12+MAX(MIN(Paramètres!$B$13,(O33+MAX(P33+AW33,0)+MAX(Q33,0)+R33)/T33)-Paramètres!$B$12,0)*Paramètres!$C$13)*T33</f>
        <v>38056.518913663662</v>
      </c>
      <c r="AY33" s="108">
        <f>(MAX(MIN(Paramètres!$B$9,(O33+MAX(P33+AW33,0)+MAX(Q33,0)+R33)/U33),0)*Paramètres!$C$9+MAX(MIN(Paramètres!$B$10,(O33+MAX(P33+AW33,0)+MAX(Q33,0)+R33)/U33)-Paramètres!$B$9,0)*Paramètres!$C$10+MAX(MIN(Paramètres!$B$11,(O33+MAX(P33+AW33,0)+MAX(Q33,0)+R33)/U33)-Paramètres!$B$10,0)*Paramètres!$C$11+MAX(MIN(Paramètres!$B$12,(O33+MAX(P33+AW33,0)+MAX(Q33,0)+R33)/U33)-Paramètres!$B$11,0)*Paramètres!$C$12+MAX(MIN(Paramètres!$B$13,(O33+MAX(P33+AW33,0)+MAX(Q33,0)+R33)/U33)-Paramètres!$B$12,0)*Paramètres!$C$13)*U33</f>
        <v>38056.518913663662</v>
      </c>
      <c r="AZ33" s="108">
        <f>MAX(AX33,AY33-Paramètres!$E$13*(T33-U33)*2)+MAX(P33+AW33,0)*Paramètres!$E$9+MAX(Q33,0)*Paramètres!$E$9+MAX(R33*Paramètres!$E$12,Paramètres!$E$11)</f>
        <v>39201.518913663662</v>
      </c>
      <c r="BA33" s="108">
        <f t="shared" si="4"/>
        <v>0</v>
      </c>
      <c r="BB33" s="149">
        <f>MAX(MAX(C33-D33,0)-SUM(E33:H33),-MIN(SUM(O33:R33),Paramètres!$E$19+MAX(P33,0)))</f>
        <v>0</v>
      </c>
      <c r="BC33" s="108">
        <f t="shared" si="20"/>
        <v>0</v>
      </c>
      <c r="BD33" s="108">
        <f t="shared" si="23"/>
        <v>0</v>
      </c>
      <c r="BE33" s="108">
        <f t="shared" si="11"/>
        <v>0</v>
      </c>
      <c r="BF33" s="108">
        <f t="shared" si="12"/>
        <v>0</v>
      </c>
      <c r="BG33" s="108">
        <f>(MAX(MIN(Paramètres!$B$9,(O33+P33+BE33+MAX(Q33,0)+R33)/T33),0)*Paramètres!$C$9+MAX(MIN(Paramètres!$B$10,(O33+P33+BE33+MAX(Q33,0)+R33)/T33)-Paramètres!$B$9,0)*Paramètres!$C$10+MAX(MIN(Paramètres!$B$11,(O33+P33+BE33+MAX(Q33,0)+R33)/T33)-Paramètres!$B$10,0)*Paramètres!$C$11+MAX(MIN(Paramètres!$B$12,(O33+P33+BE33+MAX(Q33,0)+R33)/T33)-Paramètres!$B$11,0)*Paramètres!$C$12+MAX(MIN(Paramètres!$B$13,(O33+P33+BE33+MAX(Q33,0)+R33)/T33)-Paramètres!$B$12,0)*Paramètres!$C$13)*T33</f>
        <v>38056.518913663662</v>
      </c>
      <c r="BH33" s="108">
        <f>(MAX(MIN(Paramètres!$B$9,(O33+P33+BE33+MAX(Q33,0)+R33)/U33),0)*Paramètres!$C$9+MAX(MIN(Paramètres!$B$10,(O33+P33+BE33+MAX(Q33,0)+R33)/U33)-Paramètres!$B$9,0)*Paramètres!$C$10+MAX(MIN(Paramètres!$B$11,(O33+P33+BE33+MAX(Q33,0)+R33)/U33)-Paramètres!$B$10,0)*Paramètres!$C$11+MAX(MIN(Paramètres!$B$12,(O33+P33+BE33+MAX(Q33,0)+R33)/U33)-Paramètres!$B$11,0)*Paramètres!$C$12+MAX(MIN(Paramètres!$B$13,(O33+P33+BE33+MAX(Q33,0)+R33)/U33)-Paramètres!$B$12,0)*Paramètres!$C$13)*U33</f>
        <v>38056.518913663662</v>
      </c>
      <c r="BI33" s="108">
        <f>MAX(BG33,BH33-Paramètres!$E$13*(T33-U33)*2)+MAX(P33+BE33,0)*Paramètres!$E$9+MAX(Q33,0)*Paramètres!$E$9+MAX(R33*Paramètres!$E$12,Paramètres!$E$11)</f>
        <v>39201.518913663662</v>
      </c>
      <c r="BJ33" s="150">
        <f>MAX(BI33-IFERROR(VLOOKUP(B33,Paramètres!$B$28:$C$39,2,FALSE),0)*MIN(MIN((Simulation!$C$7+Simulation!$C$12+Simulation!$C$8+Simulation!$C$10)/Simulation!$C$28,Paramètres!$C$26)*Simulation!$C$28,Paramètres!$C$25),0)-X33</f>
        <v>0</v>
      </c>
      <c r="BK33" s="108">
        <f t="shared" si="13"/>
        <v>0</v>
      </c>
      <c r="BL33" s="108">
        <f>(MAX(MIN(Paramètres!$B$9,(O33+MAX(P33+BK33,0)+MAX(Q33,0)+R33)/T33),0)*Paramètres!$C$9+MAX(MIN(Paramètres!$B$10,(O33+MAX(P33+BK33,0)+MAX(Q33,0)+R33)/T33)-Paramètres!$B$9,0)*Paramètres!$C$10+MAX(MIN(Paramètres!$B$11,(O33+MAX(P33+BK33,0)+MAX(Q33,0)+R33)/T33)-Paramètres!$B$10,0)*Paramètres!$C$11+MAX(MIN(Paramètres!$B$12,(O33+MAX(P33+BK33,0)+MAX(Q33,0)+R33)/T33)-Paramètres!$B$11,0)*Paramètres!$C$12+MAX(MIN(Paramètres!$B$13,(O33+MAX(P33+BK33,0)+MAX(Q33,0)+R33)/T33)-Paramètres!$B$12,0)*Paramètres!$C$13)*T33</f>
        <v>38056.518913663662</v>
      </c>
      <c r="BM33" s="108">
        <f>(MAX(MIN(Paramètres!$B$9,(O33+MAX(P33+BK33,0)+MAX(Q33,0)+R33)/U33),0)*Paramètres!$C$9+MAX(MIN(Paramètres!$B$10,(O33+MAX(P33+BK33,0)+MAX(Q33,0)+R33)/U33)-Paramètres!$B$9,0)*Paramètres!$C$10+MAX(MIN(Paramètres!$B$11,(O33+MAX(P33+BK33,0)+MAX(Q33,0)+R33)/U33)-Paramètres!$B$10,0)*Paramètres!$C$11+MAX(MIN(Paramètres!$B$12,(O33+MAX(P33+BK33,0)+MAX(Q33,0)+R33)/U33)-Paramètres!$B$11,0)*Paramètres!$C$12+MAX(MIN(Paramètres!$B$13,(O33+MAX(P33+BK33,0)+MAX(Q33,0)+R33)/U33)-Paramètres!$B$12,0)*Paramètres!$C$13)*U33</f>
        <v>38056.518913663662</v>
      </c>
      <c r="BN33" s="108">
        <f>MAX(BL33,BM33-Paramètres!$E$13*(T33-U33)*2)+MAX(P33+BK33,0)*Paramètres!$E$9+MAX(Q33,0)*Paramètres!$E$9+MAX(R33*Paramètres!$E$12,Paramètres!$E$11)</f>
        <v>39201.518913663662</v>
      </c>
      <c r="BO33" s="108">
        <f>MAX(BN33-IFERROR(VLOOKUP(B33,Paramètres!$B$28:$C$39,2,FALSE),0)*MIN(MIN((Simulation!$C$7+Simulation!$C$12+Simulation!$C$8+Simulation!$C$10)/Simulation!$C$28,Paramètres!$C$26)*Simulation!$C$28,Paramètres!$C$25),0)-X33</f>
        <v>0</v>
      </c>
      <c r="BP33" s="126">
        <f t="shared" si="14"/>
        <v>0</v>
      </c>
      <c r="BQ33" s="108">
        <f t="shared" si="15"/>
        <v>0</v>
      </c>
      <c r="BR33" s="108">
        <f t="shared" si="21"/>
        <v>0</v>
      </c>
      <c r="BS33" s="108">
        <f t="shared" si="19"/>
        <v>0</v>
      </c>
      <c r="BT33" s="108">
        <f t="shared" si="16"/>
        <v>0</v>
      </c>
      <c r="BU33" s="108">
        <f>(MAX(MIN(Paramètres!$B$9,(O33+MAX(P33,0)+MAX(Q33,0)+R33+BS33)/T33),0)*Paramètres!$C$9+MAX(MIN(Paramètres!$B$10,(O33+MAX(P33,0)+MAX(Q33,0)+R33+BS33)/T33)-Paramètres!$B$9,0)*Paramètres!$C$10+MAX(MIN(Paramètres!$B$11,(O33+MAX(P33,0)+MAX(Q33,0)+R33+BS33)/T33)-Paramètres!$B$10,0)*Paramètres!$C$11+MAX(MIN(Paramètres!$B$12,(O33+MAX(P33,0)+MAX(Q33,0)+R33+BS33)/T33)-Paramètres!$B$11,0)*Paramètres!$C$12+MAX(MIN(Paramètres!$B$13,(O33+MAX(P33,0)+MAX(Q33,0)+R33+BS33)/T33)-Paramètres!$B$12,0)*Paramètres!$C$13)*T33</f>
        <v>38056.518913663662</v>
      </c>
      <c r="BV33" s="108">
        <f>(MAX(MIN(Paramètres!$B$9,(O33+MAX(P33,0)+MAX(Q33,0)+R33+BS33)/U33),0)*Paramètres!$C$9+MAX(MIN(Paramètres!$B$10,(O33+MAX(P33,0)+MAX(Q33,0)+R33+BS33)/U33)-Paramètres!$B$9,0)*Paramètres!$C$10+MAX(MIN(Paramètres!$B$11,(O33+MAX(P33,0)+MAX(Q33,0)+R33+BS33)/U33)-Paramètres!$B$10,0)*Paramètres!$C$11+MAX(MIN(Paramètres!$B$12,(O33+MAX(P33,0)+MAX(Q33,0)+R33+BS33)/U33)-Paramètres!$B$11,0)*Paramètres!$C$12+MAX(MIN(Paramètres!$B$13,(O33+MAX(P33,0)+MAX(Q33,0)+R33+BS33)/U33)-Paramètres!$B$12,0)*Paramètres!$C$13)*U33</f>
        <v>38056.518913663662</v>
      </c>
      <c r="BW33" s="108">
        <f>MAX(BU33,BV33-Paramètres!$E$13*(T33-U33)*2)+MAX(P33,0)*Paramètres!$E$9+MAX(Q33,0)*Paramètres!$E$9+MAX((R33+BS33)*Paramètres!$E$12,Paramètres!$E$11)</f>
        <v>39201.518913663662</v>
      </c>
      <c r="BX33" s="108">
        <f t="shared" si="17"/>
        <v>0</v>
      </c>
      <c r="BY33" s="149">
        <f>(C33-SUM(D33:N33)+MIN(BY32,0))*(B33&lt;=Simulation!$F$24)</f>
        <v>0</v>
      </c>
      <c r="BZ33" s="108">
        <f>(Simulation!$F$22-(Simulation!$C$13-SUM($I$8:$N$37)))*(B33=Simulation!$F$24)</f>
        <v>0</v>
      </c>
      <c r="CA33" s="108">
        <f>MAX(MIN(BY33+BZ33,Paramètres!$B$17)*Paramètres!$C$17+MAX(MIN(BY33+BZ33,Paramètres!$B$18)-Paramètres!$B$17,0)*Paramètres!$C$18+MAX(MIN(BY33+BZ33,Paramètres!$B$19)-Paramètres!$B$18,0)*Paramètres!$C$19,0)</f>
        <v>0</v>
      </c>
      <c r="CB33" s="150">
        <f>MAX(MIN(BY33,Paramètres!$B$17)*Paramètres!$C$17+MAX(MIN(BY33,Paramètres!$B$18)-Paramètres!$B$17,0)*Paramètres!$C$18+MAX(MIN(BY33,Paramètres!$B$19)-Paramètres!$B$18,0)*Paramètres!$C$19,0)</f>
        <v>0</v>
      </c>
      <c r="CC33" s="108">
        <f>(C33-SUM(D33:N33)+MIN(CC32,0))*(B33&lt;=Simulation!$F$24)</f>
        <v>0</v>
      </c>
      <c r="CD33" s="108">
        <f>(Simulation!$F$22-(Simulation!$C$13-SUM($I$8:$N$37)))*(B33=Simulation!$F$24)</f>
        <v>0</v>
      </c>
      <c r="CE33" s="108">
        <f>MAX(MIN(CC33+CD33,Paramètres!$B$17)*Paramètres!$C$17+MAX(MIN(CC33+CD33,Paramètres!$B$18)-Paramètres!$B$17,0)*Paramètres!$C$18+MAX(MIN(CC33+CD33,Paramètres!$B$19)-Paramètres!$B$18,0)*Paramètres!$C$19,0)</f>
        <v>0</v>
      </c>
      <c r="CF33" s="108">
        <f>MAX(MIN(CC33,Paramètres!$B$17)*Paramètres!$C$17+MAX(MIN(CC33,Paramètres!$B$18)-Paramètres!$B$17,0)*Paramètres!$C$18+MAX(MIN(CC33,Paramètres!$B$19)-Paramètres!$B$18,0)*Paramètres!$C$19,0)</f>
        <v>0</v>
      </c>
      <c r="CG33" s="108">
        <f>MAX(CC33+CD33-CF33,0)*(1-Paramètres!$E$17)*Paramètres!$E$18</f>
        <v>0</v>
      </c>
      <c r="CH33" s="54">
        <f>MAX(CC33-CF33,0)*(1-Paramètres!$E$17)*Paramètres!$E$18</f>
        <v>0</v>
      </c>
      <c r="CI33" s="127">
        <f ca="1">OFFSET($AC33,0,VLOOKUP(Simulation!$C$27,Simulation!$Q$5:$R$14,2,FALSE))</f>
        <v>0</v>
      </c>
    </row>
    <row r="34" spans="2:87" x14ac:dyDescent="0.2">
      <c r="B34" s="40">
        <f t="shared" si="0"/>
        <v>27</v>
      </c>
      <c r="C34" s="143">
        <f>SUMPRODUCT('Détail trésorerie'!$H$8:$H$367*('Détail trésorerie'!$B$8:$B$367&gt;$B33*12)*('Détail trésorerie'!$B$8:$B$367&lt;=$B34*12))</f>
        <v>0</v>
      </c>
      <c r="D34" s="143">
        <f>SUMPRODUCT('Détail trésorerie'!$E$8:$E$367*('Détail trésorerie'!$B$8:$B$367&gt;$B33*12)*('Détail trésorerie'!$B$8:$B$367&lt;=$B34*12))</f>
        <v>0</v>
      </c>
      <c r="E34" s="144">
        <f>SUMPRODUCT('Détail trésorerie'!$J$8:$J$367*('Détail trésorerie'!$B$8:$B$367&gt;$B33*12)*('Détail trésorerie'!$B$8:$B$367&lt;=$B34*12))</f>
        <v>0</v>
      </c>
      <c r="F34" s="144">
        <f>SUMPRODUCT('Détail trésorerie'!$K$8:$K$367*('Détail trésorerie'!$B$8:$B$367&gt;$B33*12)*('Détail trésorerie'!$B$8:$B$367&lt;=$B34*12))</f>
        <v>0</v>
      </c>
      <c r="G34" s="144">
        <f>SUMPRODUCT('Détail trésorerie'!$L$8:$L$367*('Détail trésorerie'!$B$8:$B$367&gt;$B33*12)*('Détail trésorerie'!$B$8:$B$367&lt;=$B34*12))</f>
        <v>0</v>
      </c>
      <c r="H34" s="145">
        <f>SUMPRODUCT('Détail trésorerie'!$M$8:$M$367*('Détail trésorerie'!$B$8:$B$367&gt;$B33*12)*('Détail trésorerie'!$B$8:$B$367&lt;=$B34*12))</f>
        <v>0</v>
      </c>
      <c r="I34" s="126">
        <f>MAX(MIN(Paramètres!$E$3*Simulation!$C$7*Paramètres!$C$3,Simulation!$C$7*Paramètres!$E$3-SUM(I$8:$I33)),0)*(B34&lt;=Simulation!$F$24)</f>
        <v>0</v>
      </c>
      <c r="J34" s="108">
        <f>MAX(MIN(Paramètres!$E$4*Simulation!$C$7*Paramètres!$C$4,Simulation!$C$7*Paramètres!$E$4-SUM($J$8:J33)),0)*(B34&lt;=Simulation!$F$24)</f>
        <v>0</v>
      </c>
      <c r="K34" s="108">
        <f>MAX(MIN(Paramètres!$E$5*Simulation!$C$8*Paramètres!$C$5,Paramètres!$E$5*Simulation!$C$8-SUM($K$8:K33)),0)*(B34&lt;=Simulation!$F$24)</f>
        <v>0</v>
      </c>
      <c r="L34" s="108">
        <v>0</v>
      </c>
      <c r="M34" s="108">
        <v>0</v>
      </c>
      <c r="N34" s="108">
        <f>MAX(MIN(Paramètres!$C$6*(Simulation!$C$10+Simulation!$C$11+Simulation!$C$12),(Simulation!$C$10+Simulation!$C$11+Simulation!$C$12)-SUM(N$8:N33)),0)*(B34&lt;=Simulation!$F$24)</f>
        <v>0</v>
      </c>
      <c r="O34" s="148">
        <f>25000*8/2*(1+Emprunteur!$F$7)^$B34</f>
        <v>130820.88781170802</v>
      </c>
      <c r="P34" s="165">
        <f>0*(1+Emprunteur!$F$8)^$B34</f>
        <v>0</v>
      </c>
      <c r="Q34" s="165">
        <f>0*(1+Emprunteur!$F$9)^$B34</f>
        <v>0</v>
      </c>
      <c r="R34" s="165">
        <f>0*(1+Emprunteur!$F$10)^$B34</f>
        <v>0</v>
      </c>
      <c r="S34" s="108">
        <f t="shared" si="5"/>
        <v>130820.88781170802</v>
      </c>
      <c r="T34" s="157">
        <v>1</v>
      </c>
      <c r="U34" s="157">
        <v>1</v>
      </c>
      <c r="V34" s="108">
        <f>(MAX(MIN(Paramètres!$B$9,S34/T34),0)*Paramètres!$C$9+MAX(MIN(Paramètres!$B$10,S34/T34)-Paramètres!$B$9,0)*Paramètres!$C$10+MAX(MIN(Paramètres!$B$11,S34/T34)-Paramètres!$B$10,0)*Paramètres!$C$11+MAX(MIN(Paramètres!$B$12,S34/T34)-Paramètres!$B$11,0)*Paramètres!$C$12+MAX(MIN(Paramètres!$B$13,S34/T34)-Paramètres!$B$12,0)*Paramètres!$C$13)*T34</f>
        <v>38587.574002800284</v>
      </c>
      <c r="W34" s="108">
        <f>(MAX(MIN(Paramètres!$B$9,S34/U34),0)*Paramètres!$C$9+MAX(MIN(Paramètres!$B$10,S34/U34)-Paramètres!$B$9,0)*Paramètres!$C$10+MAX(MIN(Paramètres!$B$11,S34/U34)-Paramètres!$B$10,0)*Paramètres!$C$11+MAX(MIN(Paramètres!$B$12,S34/U34)-Paramètres!$B$11,0)*Paramètres!$C$12+MAX(MIN(Paramètres!$B$13,S34/U34)-Paramètres!$B$12,0)*Paramètres!$C$13)*U34</f>
        <v>38587.574002800284</v>
      </c>
      <c r="X34" s="108">
        <f>MAX(V34,W34-Paramètres!$E$13*(T34-U34)*2)+MAX(P34,0)*Paramètres!$E$9+MAX(Q34,0)*Paramètres!$E$9+MAX(R34*Paramètres!$E$12,Paramètres!$E$11)</f>
        <v>39732.574002800284</v>
      </c>
      <c r="Y34" s="126">
        <f>(C34-SUM(D34:N34)+MIN(Y33,0))*(B34&lt;=Simulation!$F$24)</f>
        <v>0</v>
      </c>
      <c r="Z34" s="108">
        <f>(MAX(MIN(Paramètres!$B$9,(O34+MAX(P34,0)+MAX(Q34+Y34,0)+R34)/T34),0)*Paramètres!$C$9+MAX(MIN(Paramètres!$B$10,(O34+MAX(P34,0)+MAX(Q34+Y34,0)+R34)/T34)-Paramètres!$B$9,0)*Paramètres!$C$10+MAX(MIN(Paramètres!$B$11,(O34+MAX(P34,0)+MAX(Q34+Y34,0)+R34)/T34)-Paramètres!$B$10,0)*Paramètres!$C$11+MAX(MIN(Paramètres!$B$12,(O34+MAX(P34,0)+MAX(Q34+Y34,0)+R34)/T34)-Paramètres!$B$11,0)*Paramètres!$C$12+MAX(MIN(Paramètres!$B$13,(O34+MAX(P34,0)+MAX(Q34+Y34,0)+R34)/T34)-Paramètres!$B$12,0)*Paramètres!$C$13)*T34</f>
        <v>38587.574002800284</v>
      </c>
      <c r="AA34" s="108">
        <f>(MAX(MIN(Paramètres!$B$9,(O34+MAX(P34,0)+MAX(Q34+Y34,0)+R34)/U34),0)*Paramètres!$C$9+MAX(MIN(Paramètres!$B$10,(O34+MAX(P34,0)+MAX(Q34+Y34,0)+R34)/U34)-Paramètres!$B$9,0)*Paramètres!$C$10+MAX(MIN(Paramètres!$B$11,(O34+MAX(P34,0)+MAX(Q34+Y34,0)+R34)/U34)-Paramètres!$B$10,0)*Paramètres!$C$11+MAX(MIN(Paramètres!$B$12,(O34+MAX(P34,0)+MAX(Q34+Y34,0)+R34)/U34)-Paramètres!$B$11,0)*Paramètres!$C$12+MAX(MIN(Paramètres!$B$13,(O34+MAX(P34,0)+MAX(Q34+Y34,0)+R34)/U34)-Paramètres!$B$12,0)*Paramètres!$C$13)*U34</f>
        <v>38587.574002800284</v>
      </c>
      <c r="AB34" s="108">
        <f>MAX(Z34,AA34-Paramètres!$E$13*(T34-U34)*2)+MAX(P34,0)*Paramètres!$E$9+MAX(Q34+Y34,0)*Paramètres!$E$9+MAX(R34*Paramètres!$E$12,Paramètres!$E$11)</f>
        <v>39732.574002800284</v>
      </c>
      <c r="AC34" s="108">
        <f t="shared" si="6"/>
        <v>0</v>
      </c>
      <c r="AD34" s="149">
        <f t="shared" si="1"/>
        <v>0</v>
      </c>
      <c r="AE34" s="108">
        <f>(MAX(MIN(Paramètres!$B$9,(O34+MAX(P34,0)+MAX(Q34+AD34,0)+R34)/T34),0)*Paramètres!$C$9+MAX(MIN(Paramètres!$B$10,(O34+MAX(P34,0)+MAX(Q34+AD34,0)+R34)/T34)-Paramètres!$B$9,0)*Paramètres!$C$10+MAX(MIN(Paramètres!$B$11,(O34+MAX(P34,0)+MAX(Q34+AD34,0)+R34)/T34)-Paramètres!$B$10,0)*Paramètres!$C$11+MAX(MIN(Paramètres!$B$12,(O34+MAX(P34,0)+MAX(Q34+AD34,0)+R34)/T34)-Paramètres!$B$11,0)*Paramètres!$C$12+MAX(MIN(Paramètres!$B$13,(O34+MAX(P34,0)+MAX(Q34+AD34,0)+R34)/T34)-Paramètres!$B$12,0)*Paramètres!$C$13)*T34</f>
        <v>38587.574002800284</v>
      </c>
      <c r="AF34" s="108">
        <f>(MAX(MIN(Paramètres!$B$9,(O34+MAX(P34,0)+MAX(Q34+AD34,0)+R34)/U34),0)*Paramètres!$C$9+MAX(MIN(Paramètres!$B$10,(O34+MAX(P34,0)+MAX(Q34+AD34,0)+R34)/U34)-Paramètres!$B$9,0)*Paramètres!$C$10+MAX(MIN(Paramètres!$B$11,(O34+MAX(P34,0)+MAX(Q34+AD34,0)+R34)/U34)-Paramètres!$B$10,0)*Paramètres!$C$11+MAX(MIN(Paramètres!$B$12,(O34+MAX(P34,0)+MAX(Q34+AD34,0)+R34)/U34)-Paramètres!$B$11,0)*Paramètres!$C$12+MAX(MIN(Paramètres!$B$13,(O34+MAX(P34,0)+MAX(Q34+AD34,0)+R34)/U34)-Paramètres!$B$12,0)*Paramètres!$C$13)*U34</f>
        <v>38587.574002800284</v>
      </c>
      <c r="AG34" s="108">
        <f>MAX(AE34,AF34-Paramètres!$E$13*(T34-U34)*2)+MAX(P34,0)*Paramètres!$E$9+MAX(Q34+AD34,0)*Paramètres!$E$9+MAX(R34*Paramètres!$E$12,Paramètres!$E$11)</f>
        <v>39732.574002800284</v>
      </c>
      <c r="AH34" s="150">
        <f t="shared" si="7"/>
        <v>0</v>
      </c>
      <c r="AI34" s="149">
        <f t="shared" si="8"/>
        <v>0</v>
      </c>
      <c r="AJ34" s="108">
        <f>(MAX(MIN(Paramètres!$B$9,(O34+MAX(P34,0)+MAX(Q34+AI34,0)+R34)/T34),0)*Paramètres!$C$9+MAX(MIN(Paramètres!$B$10,(O34+MAX(P34,0)+MAX(Q34+AI34,0)+R34)/T34)-Paramètres!$B$9,0)*Paramètres!$C$10+MAX(MIN(Paramètres!$B$11,(O34+MAX(P34,0)+MAX(Q34+AI34,0)+R34)/T34)-Paramètres!$B$10,0)*Paramètres!$C$11+MAX(MIN(Paramètres!$B$12,(O34+MAX(P34,0)+MAX(Q34+AI34,0)+R34)/T34)-Paramètres!$B$11,0)*Paramètres!$C$12+MAX(MIN(Paramètres!$B$13,(O34+MAX(P34,0)+MAX(Q34+AI34,0)+R34)/T34)-Paramètres!$B$12,0)*Paramètres!$C$13)*T34</f>
        <v>38587.574002800284</v>
      </c>
      <c r="AK34" s="108">
        <f>(MAX(MIN(Paramètres!$B$9,(O34+MAX(P34,0)+MAX(Q34+AI34,0)+R34)/U34),0)*Paramètres!$C$9+MAX(MIN(Paramètres!$B$10,(O34+MAX(P34,0)+MAX(Q34+AI34,0)+R34)/U34)-Paramètres!$B$9,0)*Paramètres!$C$10+MAX(MIN(Paramètres!$B$11,(O34+MAX(P34,0)+MAX(Q34+AI34,0)+R34)/U34)-Paramètres!$B$10,0)*Paramètres!$C$11+MAX(MIN(Paramètres!$B$12,(O34+MAX(P34,0)+MAX(Q34+AI34,0)+R34)/U34)-Paramètres!$B$11,0)*Paramètres!$C$12+MAX(MIN(Paramètres!$B$13,(O34+MAX(P34,0)+MAX(Q34+AI34,0)+R34)/U34)-Paramètres!$B$12,0)*Paramètres!$C$13)*U34</f>
        <v>38587.574002800284</v>
      </c>
      <c r="AL34" s="108">
        <f>MAX(AJ34,AK34-Paramètres!$E$13*(T34-U34)*2)+MAX(P34,0)*Paramètres!$E$9+MAX(Q34+AI34,0)*Paramètres!$E$9+MAX(R34*Paramètres!$E$12,Paramètres!$E$11)</f>
        <v>39732.574002800284</v>
      </c>
      <c r="AM34" s="150">
        <f>MAX(AL34-11%/9*Simulation!$C$7*(B34&lt;=9),0)-X34</f>
        <v>0</v>
      </c>
      <c r="AN34" s="149">
        <f>MAX(MAX(C34-D34,0)-SUM(E34:H34),-MIN(SUM(O34:R34),Paramètres!$E$19+MAX(P34,0)))</f>
        <v>0</v>
      </c>
      <c r="AO34" s="108">
        <f t="shared" si="18"/>
        <v>0</v>
      </c>
      <c r="AP34" s="108">
        <f t="shared" si="22"/>
        <v>0</v>
      </c>
      <c r="AQ34" s="108">
        <f t="shared" si="9"/>
        <v>0</v>
      </c>
      <c r="AR34" s="108">
        <f t="shared" si="10"/>
        <v>0</v>
      </c>
      <c r="AS34" s="108">
        <f>(MAX(MIN(Paramètres!$B$9,(O34+P34+AQ34+MAX(Q34,0)+R34)/T34),0)*Paramètres!$C$9+MAX(MIN(Paramètres!$B$10,(O34+P34+AQ34+MAX(Q34,0)+R34)/T34)-Paramètres!$B$9,0)*Paramètres!$C$10+MAX(MIN(Paramètres!$B$11,(O34+P34+AQ34+MAX(Q34,0)+R34)/T34)-Paramètres!$B$10,0)*Paramètres!$C$11+MAX(MIN(Paramètres!$B$12,(O34+P34+AQ34+MAX(Q34,0)+R34)/T34)-Paramètres!$B$11,0)*Paramètres!$C$12+MAX(MIN(Paramètres!$B$13,(O34+P34+AQ34+MAX(Q34,0)+R34)/T34)-Paramètres!$B$12,0)*Paramètres!$C$13)*T34</f>
        <v>38587.574002800284</v>
      </c>
      <c r="AT34" s="108">
        <f>(MAX(MIN(Paramètres!$B$9,(O34+P34+AQ34+MAX(Q34,0)+R34)/U34),0)*Paramètres!$C$9+MAX(MIN(Paramètres!$B$10,(O34+P34+AQ34+MAX(Q34,0)+R34)/U34)-Paramètres!$B$9,0)*Paramètres!$C$10+MAX(MIN(Paramètres!$B$11,(O34+P34+AQ34+MAX(Q34,0)+R34)/U34)-Paramètres!$B$10,0)*Paramètres!$C$11+MAX(MIN(Paramètres!$B$12,(O34+P34+AQ34+MAX(Q34,0)+R34)/U34)-Paramètres!$B$11,0)*Paramètres!$C$12+MAX(MIN(Paramètres!$B$13,(O34+P34+AQ34+MAX(Q34,0)+R34)/U34)-Paramètres!$B$12,0)*Paramètres!$C$13)*U34</f>
        <v>38587.574002800284</v>
      </c>
      <c r="AU34" s="108">
        <f>MAX(AS34,AT34-Paramètres!$E$13*(T34-U34)*2)+MAX(P34+AQ34,0)*Paramètres!$E$9+MAX(Q34,0)*Paramètres!$E$9+MAX(R34*Paramètres!$E$12,Paramètres!$E$11)</f>
        <v>39732.574002800284</v>
      </c>
      <c r="AV34" s="150">
        <f t="shared" si="2"/>
        <v>0</v>
      </c>
      <c r="AW34" s="108">
        <f t="shared" si="3"/>
        <v>0</v>
      </c>
      <c r="AX34" s="108">
        <f>(MAX(MIN(Paramètres!$B$9,(O34+MAX(P34+AW34,0)+MAX(Q34,0)+R34)/T34),0)*Paramètres!$C$9+MAX(MIN(Paramètres!$B$10,(O34+MAX(P34+AW34,0)+MAX(Q34,0)+R34)/T34)-Paramètres!$B$9,0)*Paramètres!$C$10+MAX(MIN(Paramètres!$B$11,(O34+MAX(P34+AW34,0)+MAX(Q34,0)+R34)/T34)-Paramètres!$B$10,0)*Paramètres!$C$11+MAX(MIN(Paramètres!$B$12,(O34+MAX(P34+AW34,0)+MAX(Q34,0)+R34)/T34)-Paramètres!$B$11,0)*Paramètres!$C$12+MAX(MIN(Paramètres!$B$13,(O34+MAX(P34+AW34,0)+MAX(Q34,0)+R34)/T34)-Paramètres!$B$12,0)*Paramètres!$C$13)*T34</f>
        <v>38587.574002800284</v>
      </c>
      <c r="AY34" s="108">
        <f>(MAX(MIN(Paramètres!$B$9,(O34+MAX(P34+AW34,0)+MAX(Q34,0)+R34)/U34),0)*Paramètres!$C$9+MAX(MIN(Paramètres!$B$10,(O34+MAX(P34+AW34,0)+MAX(Q34,0)+R34)/U34)-Paramètres!$B$9,0)*Paramètres!$C$10+MAX(MIN(Paramètres!$B$11,(O34+MAX(P34+AW34,0)+MAX(Q34,0)+R34)/U34)-Paramètres!$B$10,0)*Paramètres!$C$11+MAX(MIN(Paramètres!$B$12,(O34+MAX(P34+AW34,0)+MAX(Q34,0)+R34)/U34)-Paramètres!$B$11,0)*Paramètres!$C$12+MAX(MIN(Paramètres!$B$13,(O34+MAX(P34+AW34,0)+MAX(Q34,0)+R34)/U34)-Paramètres!$B$12,0)*Paramètres!$C$13)*U34</f>
        <v>38587.574002800284</v>
      </c>
      <c r="AZ34" s="108">
        <f>MAX(AX34,AY34-Paramètres!$E$13*(T34-U34)*2)+MAX(P34+AW34,0)*Paramètres!$E$9+MAX(Q34,0)*Paramètres!$E$9+MAX(R34*Paramètres!$E$12,Paramètres!$E$11)</f>
        <v>39732.574002800284</v>
      </c>
      <c r="BA34" s="108">
        <f t="shared" si="4"/>
        <v>0</v>
      </c>
      <c r="BB34" s="149">
        <f>MAX(MAX(C34-D34,0)-SUM(E34:H34),-MIN(SUM(O34:R34),Paramètres!$E$19+MAX(P34,0)))</f>
        <v>0</v>
      </c>
      <c r="BC34" s="108">
        <f t="shared" si="20"/>
        <v>0</v>
      </c>
      <c r="BD34" s="108">
        <f t="shared" si="23"/>
        <v>0</v>
      </c>
      <c r="BE34" s="108">
        <f t="shared" si="11"/>
        <v>0</v>
      </c>
      <c r="BF34" s="108">
        <f t="shared" si="12"/>
        <v>0</v>
      </c>
      <c r="BG34" s="108">
        <f>(MAX(MIN(Paramètres!$B$9,(O34+P34+BE34+MAX(Q34,0)+R34)/T34),0)*Paramètres!$C$9+MAX(MIN(Paramètres!$B$10,(O34+P34+BE34+MAX(Q34,0)+R34)/T34)-Paramètres!$B$9,0)*Paramètres!$C$10+MAX(MIN(Paramètres!$B$11,(O34+P34+BE34+MAX(Q34,0)+R34)/T34)-Paramètres!$B$10,0)*Paramètres!$C$11+MAX(MIN(Paramètres!$B$12,(O34+P34+BE34+MAX(Q34,0)+R34)/T34)-Paramètres!$B$11,0)*Paramètres!$C$12+MAX(MIN(Paramètres!$B$13,(O34+P34+BE34+MAX(Q34,0)+R34)/T34)-Paramètres!$B$12,0)*Paramètres!$C$13)*T34</f>
        <v>38587.574002800284</v>
      </c>
      <c r="BH34" s="108">
        <f>(MAX(MIN(Paramètres!$B$9,(O34+P34+BE34+MAX(Q34,0)+R34)/U34),0)*Paramètres!$C$9+MAX(MIN(Paramètres!$B$10,(O34+P34+BE34+MAX(Q34,0)+R34)/U34)-Paramètres!$B$9,0)*Paramètres!$C$10+MAX(MIN(Paramètres!$B$11,(O34+P34+BE34+MAX(Q34,0)+R34)/U34)-Paramètres!$B$10,0)*Paramètres!$C$11+MAX(MIN(Paramètres!$B$12,(O34+P34+BE34+MAX(Q34,0)+R34)/U34)-Paramètres!$B$11,0)*Paramètres!$C$12+MAX(MIN(Paramètres!$B$13,(O34+P34+BE34+MAX(Q34,0)+R34)/U34)-Paramètres!$B$12,0)*Paramètres!$C$13)*U34</f>
        <v>38587.574002800284</v>
      </c>
      <c r="BI34" s="108">
        <f>MAX(BG34,BH34-Paramètres!$E$13*(T34-U34)*2)+MAX(P34+BE34,0)*Paramètres!$E$9+MAX(Q34,0)*Paramètres!$E$9+MAX(R34*Paramètres!$E$12,Paramètres!$E$11)</f>
        <v>39732.574002800284</v>
      </c>
      <c r="BJ34" s="150">
        <f>MAX(BI34-IFERROR(VLOOKUP(B34,Paramètres!$B$28:$C$39,2,FALSE),0)*MIN(MIN((Simulation!$C$7+Simulation!$C$12+Simulation!$C$8+Simulation!$C$10)/Simulation!$C$28,Paramètres!$C$26)*Simulation!$C$28,Paramètres!$C$25),0)-X34</f>
        <v>0</v>
      </c>
      <c r="BK34" s="108">
        <f t="shared" si="13"/>
        <v>0</v>
      </c>
      <c r="BL34" s="108">
        <f>(MAX(MIN(Paramètres!$B$9,(O34+MAX(P34+BK34,0)+MAX(Q34,0)+R34)/T34),0)*Paramètres!$C$9+MAX(MIN(Paramètres!$B$10,(O34+MAX(P34+BK34,0)+MAX(Q34,0)+R34)/T34)-Paramètres!$B$9,0)*Paramètres!$C$10+MAX(MIN(Paramètres!$B$11,(O34+MAX(P34+BK34,0)+MAX(Q34,0)+R34)/T34)-Paramètres!$B$10,0)*Paramètres!$C$11+MAX(MIN(Paramètres!$B$12,(O34+MAX(P34+BK34,0)+MAX(Q34,0)+R34)/T34)-Paramètres!$B$11,0)*Paramètres!$C$12+MAX(MIN(Paramètres!$B$13,(O34+MAX(P34+BK34,0)+MAX(Q34,0)+R34)/T34)-Paramètres!$B$12,0)*Paramètres!$C$13)*T34</f>
        <v>38587.574002800284</v>
      </c>
      <c r="BM34" s="108">
        <f>(MAX(MIN(Paramètres!$B$9,(O34+MAX(P34+BK34,0)+MAX(Q34,0)+R34)/U34),0)*Paramètres!$C$9+MAX(MIN(Paramètres!$B$10,(O34+MAX(P34+BK34,0)+MAX(Q34,0)+R34)/U34)-Paramètres!$B$9,0)*Paramètres!$C$10+MAX(MIN(Paramètres!$B$11,(O34+MAX(P34+BK34,0)+MAX(Q34,0)+R34)/U34)-Paramètres!$B$10,0)*Paramètres!$C$11+MAX(MIN(Paramètres!$B$12,(O34+MAX(P34+BK34,0)+MAX(Q34,0)+R34)/U34)-Paramètres!$B$11,0)*Paramètres!$C$12+MAX(MIN(Paramètres!$B$13,(O34+MAX(P34+BK34,0)+MAX(Q34,0)+R34)/U34)-Paramètres!$B$12,0)*Paramètres!$C$13)*U34</f>
        <v>38587.574002800284</v>
      </c>
      <c r="BN34" s="108">
        <f>MAX(BL34,BM34-Paramètres!$E$13*(T34-U34)*2)+MAX(P34+BK34,0)*Paramètres!$E$9+MAX(Q34,0)*Paramètres!$E$9+MAX(R34*Paramètres!$E$12,Paramètres!$E$11)</f>
        <v>39732.574002800284</v>
      </c>
      <c r="BO34" s="108">
        <f>MAX(BN34-IFERROR(VLOOKUP(B34,Paramètres!$B$28:$C$39,2,FALSE),0)*MIN(MIN((Simulation!$C$7+Simulation!$C$12+Simulation!$C$8+Simulation!$C$10)/Simulation!$C$28,Paramètres!$C$26)*Simulation!$C$28,Paramètres!$C$25),0)-X34</f>
        <v>0</v>
      </c>
      <c r="BP34" s="126">
        <f t="shared" si="14"/>
        <v>0</v>
      </c>
      <c r="BQ34" s="108">
        <f t="shared" si="15"/>
        <v>0</v>
      </c>
      <c r="BR34" s="108">
        <f t="shared" si="21"/>
        <v>0</v>
      </c>
      <c r="BS34" s="108">
        <f t="shared" si="19"/>
        <v>0</v>
      </c>
      <c r="BT34" s="108">
        <f t="shared" si="16"/>
        <v>0</v>
      </c>
      <c r="BU34" s="108">
        <f>(MAX(MIN(Paramètres!$B$9,(O34+MAX(P34,0)+MAX(Q34,0)+R34+BS34)/T34),0)*Paramètres!$C$9+MAX(MIN(Paramètres!$B$10,(O34+MAX(P34,0)+MAX(Q34,0)+R34+BS34)/T34)-Paramètres!$B$9,0)*Paramètres!$C$10+MAX(MIN(Paramètres!$B$11,(O34+MAX(P34,0)+MAX(Q34,0)+R34+BS34)/T34)-Paramètres!$B$10,0)*Paramètres!$C$11+MAX(MIN(Paramètres!$B$12,(O34+MAX(P34,0)+MAX(Q34,0)+R34+BS34)/T34)-Paramètres!$B$11,0)*Paramètres!$C$12+MAX(MIN(Paramètres!$B$13,(O34+MAX(P34,0)+MAX(Q34,0)+R34+BS34)/T34)-Paramètres!$B$12,0)*Paramètres!$C$13)*T34</f>
        <v>38587.574002800284</v>
      </c>
      <c r="BV34" s="108">
        <f>(MAX(MIN(Paramètres!$B$9,(O34+MAX(P34,0)+MAX(Q34,0)+R34+BS34)/U34),0)*Paramètres!$C$9+MAX(MIN(Paramètres!$B$10,(O34+MAX(P34,0)+MAX(Q34,0)+R34+BS34)/U34)-Paramètres!$B$9,0)*Paramètres!$C$10+MAX(MIN(Paramètres!$B$11,(O34+MAX(P34,0)+MAX(Q34,0)+R34+BS34)/U34)-Paramètres!$B$10,0)*Paramètres!$C$11+MAX(MIN(Paramètres!$B$12,(O34+MAX(P34,0)+MAX(Q34,0)+R34+BS34)/U34)-Paramètres!$B$11,0)*Paramètres!$C$12+MAX(MIN(Paramètres!$B$13,(O34+MAX(P34,0)+MAX(Q34,0)+R34+BS34)/U34)-Paramètres!$B$12,0)*Paramètres!$C$13)*U34</f>
        <v>38587.574002800284</v>
      </c>
      <c r="BW34" s="108">
        <f>MAX(BU34,BV34-Paramètres!$E$13*(T34-U34)*2)+MAX(P34,0)*Paramètres!$E$9+MAX(Q34,0)*Paramètres!$E$9+MAX((R34+BS34)*Paramètres!$E$12,Paramètres!$E$11)</f>
        <v>39732.574002800284</v>
      </c>
      <c r="BX34" s="108">
        <f t="shared" si="17"/>
        <v>0</v>
      </c>
      <c r="BY34" s="149">
        <f>(C34-SUM(D34:N34)+MIN(BY33,0))*(B34&lt;=Simulation!$F$24)</f>
        <v>0</v>
      </c>
      <c r="BZ34" s="108">
        <f>(Simulation!$F$22-(Simulation!$C$13-SUM($I$8:$N$37)))*(B34=Simulation!$F$24)</f>
        <v>0</v>
      </c>
      <c r="CA34" s="108">
        <f>MAX(MIN(BY34+BZ34,Paramètres!$B$17)*Paramètres!$C$17+MAX(MIN(BY34+BZ34,Paramètres!$B$18)-Paramètres!$B$17,0)*Paramètres!$C$18+MAX(MIN(BY34+BZ34,Paramètres!$B$19)-Paramètres!$B$18,0)*Paramètres!$C$19,0)</f>
        <v>0</v>
      </c>
      <c r="CB34" s="150">
        <f>MAX(MIN(BY34,Paramètres!$B$17)*Paramètres!$C$17+MAX(MIN(BY34,Paramètres!$B$18)-Paramètres!$B$17,0)*Paramètres!$C$18+MAX(MIN(BY34,Paramètres!$B$19)-Paramètres!$B$18,0)*Paramètres!$C$19,0)</f>
        <v>0</v>
      </c>
      <c r="CC34" s="108">
        <f>(C34-SUM(D34:N34)+MIN(CC33,0))*(B34&lt;=Simulation!$F$24)</f>
        <v>0</v>
      </c>
      <c r="CD34" s="108">
        <f>(Simulation!$F$22-(Simulation!$C$13-SUM($I$8:$N$37)))*(B34=Simulation!$F$24)</f>
        <v>0</v>
      </c>
      <c r="CE34" s="108">
        <f>MAX(MIN(CC34+CD34,Paramètres!$B$17)*Paramètres!$C$17+MAX(MIN(CC34+CD34,Paramètres!$B$18)-Paramètres!$B$17,0)*Paramètres!$C$18+MAX(MIN(CC34+CD34,Paramètres!$B$19)-Paramètres!$B$18,0)*Paramètres!$C$19,0)</f>
        <v>0</v>
      </c>
      <c r="CF34" s="108">
        <f>MAX(MIN(CC34,Paramètres!$B$17)*Paramètres!$C$17+MAX(MIN(CC34,Paramètres!$B$18)-Paramètres!$B$17,0)*Paramètres!$C$18+MAX(MIN(CC34,Paramètres!$B$19)-Paramètres!$B$18,0)*Paramètres!$C$19,0)</f>
        <v>0</v>
      </c>
      <c r="CG34" s="108">
        <f>MAX(CC34+CD34-CF34,0)*(1-Paramètres!$E$17)*Paramètres!$E$18</f>
        <v>0</v>
      </c>
      <c r="CH34" s="54">
        <f>MAX(CC34-CF34,0)*(1-Paramètres!$E$17)*Paramètres!$E$18</f>
        <v>0</v>
      </c>
      <c r="CI34" s="127">
        <f ca="1">OFFSET($AC34,0,VLOOKUP(Simulation!$C$27,Simulation!$Q$5:$R$14,2,FALSE))</f>
        <v>0</v>
      </c>
    </row>
    <row r="35" spans="2:87" x14ac:dyDescent="0.2">
      <c r="B35" s="40">
        <f t="shared" si="0"/>
        <v>28</v>
      </c>
      <c r="C35" s="143">
        <f>SUMPRODUCT('Détail trésorerie'!$H$8:$H$367*('Détail trésorerie'!$B$8:$B$367&gt;$B34*12)*('Détail trésorerie'!$B$8:$B$367&lt;=$B35*12))</f>
        <v>0</v>
      </c>
      <c r="D35" s="143">
        <f>SUMPRODUCT('Détail trésorerie'!$E$8:$E$367*('Détail trésorerie'!$B$8:$B$367&gt;$B34*12)*('Détail trésorerie'!$B$8:$B$367&lt;=$B35*12))</f>
        <v>0</v>
      </c>
      <c r="E35" s="144">
        <f>SUMPRODUCT('Détail trésorerie'!$J$8:$J$367*('Détail trésorerie'!$B$8:$B$367&gt;$B34*12)*('Détail trésorerie'!$B$8:$B$367&lt;=$B35*12))</f>
        <v>0</v>
      </c>
      <c r="F35" s="144">
        <f>SUMPRODUCT('Détail trésorerie'!$K$8:$K$367*('Détail trésorerie'!$B$8:$B$367&gt;$B34*12)*('Détail trésorerie'!$B$8:$B$367&lt;=$B35*12))</f>
        <v>0</v>
      </c>
      <c r="G35" s="144">
        <f>SUMPRODUCT('Détail trésorerie'!$L$8:$L$367*('Détail trésorerie'!$B$8:$B$367&gt;$B34*12)*('Détail trésorerie'!$B$8:$B$367&lt;=$B35*12))</f>
        <v>0</v>
      </c>
      <c r="H35" s="145">
        <f>SUMPRODUCT('Détail trésorerie'!$M$8:$M$367*('Détail trésorerie'!$B$8:$B$367&gt;$B34*12)*('Détail trésorerie'!$B$8:$B$367&lt;=$B35*12))</f>
        <v>0</v>
      </c>
      <c r="I35" s="126">
        <f>MAX(MIN(Paramètres!$E$3*Simulation!$C$7*Paramètres!$C$3,Simulation!$C$7*Paramètres!$E$3-SUM(I$8:$I34)),0)*(B35&lt;=Simulation!$F$24)</f>
        <v>0</v>
      </c>
      <c r="J35" s="108">
        <f>MAX(MIN(Paramètres!$E$4*Simulation!$C$7*Paramètres!$C$4,Simulation!$C$7*Paramètres!$E$4-SUM($J$8:J34)),0)*(B35&lt;=Simulation!$F$24)</f>
        <v>0</v>
      </c>
      <c r="K35" s="108">
        <f>MAX(MIN(Paramètres!$E$5*Simulation!$C$8*Paramètres!$C$5,Paramètres!$E$5*Simulation!$C$8-SUM($K$8:K34)),0)*(B35&lt;=Simulation!$F$24)</f>
        <v>0</v>
      </c>
      <c r="L35" s="108">
        <v>0</v>
      </c>
      <c r="M35" s="108">
        <v>0</v>
      </c>
      <c r="N35" s="108">
        <f>MAX(MIN(Paramètres!$C$6*(Simulation!$C$10+Simulation!$C$11+Simulation!$C$12),(Simulation!$C$10+Simulation!$C$11+Simulation!$C$12)-SUM(N$8:N34)),0)*(B35&lt;=Simulation!$F$24)</f>
        <v>0</v>
      </c>
      <c r="O35" s="148">
        <f>25000*8/2*(1+Emprunteur!$F$7)^$B35</f>
        <v>132129.09668982512</v>
      </c>
      <c r="P35" s="165">
        <f>0*(1+Emprunteur!$F$8)^$B35</f>
        <v>0</v>
      </c>
      <c r="Q35" s="165">
        <f>0*(1+Emprunteur!$F$9)^$B35</f>
        <v>0</v>
      </c>
      <c r="R35" s="165">
        <f>0*(1+Emprunteur!$F$10)^$B35</f>
        <v>0</v>
      </c>
      <c r="S35" s="108">
        <f t="shared" si="5"/>
        <v>132129.09668982512</v>
      </c>
      <c r="T35" s="157">
        <v>1</v>
      </c>
      <c r="U35" s="157">
        <v>1</v>
      </c>
      <c r="V35" s="108">
        <f>(MAX(MIN(Paramètres!$B$9,S35/T35),0)*Paramètres!$C$9+MAX(MIN(Paramètres!$B$10,S35/T35)-Paramètres!$B$9,0)*Paramètres!$C$10+MAX(MIN(Paramètres!$B$11,S35/T35)-Paramètres!$B$10,0)*Paramètres!$C$11+MAX(MIN(Paramètres!$B$12,S35/T35)-Paramètres!$B$11,0)*Paramètres!$C$12+MAX(MIN(Paramètres!$B$13,S35/T35)-Paramètres!$B$12,0)*Paramètres!$C$13)*T35</f>
        <v>39123.939642828293</v>
      </c>
      <c r="W35" s="108">
        <f>(MAX(MIN(Paramètres!$B$9,S35/U35),0)*Paramètres!$C$9+MAX(MIN(Paramètres!$B$10,S35/U35)-Paramètres!$B$9,0)*Paramètres!$C$10+MAX(MIN(Paramètres!$B$11,S35/U35)-Paramètres!$B$10,0)*Paramètres!$C$11+MAX(MIN(Paramètres!$B$12,S35/U35)-Paramètres!$B$11,0)*Paramètres!$C$12+MAX(MIN(Paramètres!$B$13,S35/U35)-Paramètres!$B$12,0)*Paramètres!$C$13)*U35</f>
        <v>39123.939642828293</v>
      </c>
      <c r="X35" s="108">
        <f>MAX(V35,W35-Paramètres!$E$13*(T35-U35)*2)+MAX(P35,0)*Paramètres!$E$9+MAX(Q35,0)*Paramètres!$E$9+MAX(R35*Paramètres!$E$12,Paramètres!$E$11)</f>
        <v>40268.939642828293</v>
      </c>
      <c r="Y35" s="126">
        <f>(C35-SUM(D35:N35)+MIN(Y34,0))*(B35&lt;=Simulation!$F$24)</f>
        <v>0</v>
      </c>
      <c r="Z35" s="108">
        <f>(MAX(MIN(Paramètres!$B$9,(O35+MAX(P35,0)+MAX(Q35+Y35,0)+R35)/T35),0)*Paramètres!$C$9+MAX(MIN(Paramètres!$B$10,(O35+MAX(P35,0)+MAX(Q35+Y35,0)+R35)/T35)-Paramètres!$B$9,0)*Paramètres!$C$10+MAX(MIN(Paramètres!$B$11,(O35+MAX(P35,0)+MAX(Q35+Y35,0)+R35)/T35)-Paramètres!$B$10,0)*Paramètres!$C$11+MAX(MIN(Paramètres!$B$12,(O35+MAX(P35,0)+MAX(Q35+Y35,0)+R35)/T35)-Paramètres!$B$11,0)*Paramètres!$C$12+MAX(MIN(Paramètres!$B$13,(O35+MAX(P35,0)+MAX(Q35+Y35,0)+R35)/T35)-Paramètres!$B$12,0)*Paramètres!$C$13)*T35</f>
        <v>39123.939642828293</v>
      </c>
      <c r="AA35" s="108">
        <f>(MAX(MIN(Paramètres!$B$9,(O35+MAX(P35,0)+MAX(Q35+Y35,0)+R35)/U35),0)*Paramètres!$C$9+MAX(MIN(Paramètres!$B$10,(O35+MAX(P35,0)+MAX(Q35+Y35,0)+R35)/U35)-Paramètres!$B$9,0)*Paramètres!$C$10+MAX(MIN(Paramètres!$B$11,(O35+MAX(P35,0)+MAX(Q35+Y35,0)+R35)/U35)-Paramètres!$B$10,0)*Paramètres!$C$11+MAX(MIN(Paramètres!$B$12,(O35+MAX(P35,0)+MAX(Q35+Y35,0)+R35)/U35)-Paramètres!$B$11,0)*Paramètres!$C$12+MAX(MIN(Paramètres!$B$13,(O35+MAX(P35,0)+MAX(Q35+Y35,0)+R35)/U35)-Paramètres!$B$12,0)*Paramètres!$C$13)*U35</f>
        <v>39123.939642828293</v>
      </c>
      <c r="AB35" s="108">
        <f>MAX(Z35,AA35-Paramètres!$E$13*(T35-U35)*2)+MAX(P35,0)*Paramètres!$E$9+MAX(Q35+Y35,0)*Paramètres!$E$9+MAX(R35*Paramètres!$E$12,Paramètres!$E$11)</f>
        <v>40268.939642828293</v>
      </c>
      <c r="AC35" s="108">
        <f t="shared" si="6"/>
        <v>0</v>
      </c>
      <c r="AD35" s="149">
        <f t="shared" si="1"/>
        <v>0</v>
      </c>
      <c r="AE35" s="108">
        <f>(MAX(MIN(Paramètres!$B$9,(O35+MAX(P35,0)+MAX(Q35+AD35,0)+R35)/T35),0)*Paramètres!$C$9+MAX(MIN(Paramètres!$B$10,(O35+MAX(P35,0)+MAX(Q35+AD35,0)+R35)/T35)-Paramètres!$B$9,0)*Paramètres!$C$10+MAX(MIN(Paramètres!$B$11,(O35+MAX(P35,0)+MAX(Q35+AD35,0)+R35)/T35)-Paramètres!$B$10,0)*Paramètres!$C$11+MAX(MIN(Paramètres!$B$12,(O35+MAX(P35,0)+MAX(Q35+AD35,0)+R35)/T35)-Paramètres!$B$11,0)*Paramètres!$C$12+MAX(MIN(Paramètres!$B$13,(O35+MAX(P35,0)+MAX(Q35+AD35,0)+R35)/T35)-Paramètres!$B$12,0)*Paramètres!$C$13)*T35</f>
        <v>39123.939642828293</v>
      </c>
      <c r="AF35" s="108">
        <f>(MAX(MIN(Paramètres!$B$9,(O35+MAX(P35,0)+MAX(Q35+AD35,0)+R35)/U35),0)*Paramètres!$C$9+MAX(MIN(Paramètres!$B$10,(O35+MAX(P35,0)+MAX(Q35+AD35,0)+R35)/U35)-Paramètres!$B$9,0)*Paramètres!$C$10+MAX(MIN(Paramètres!$B$11,(O35+MAX(P35,0)+MAX(Q35+AD35,0)+R35)/U35)-Paramètres!$B$10,0)*Paramètres!$C$11+MAX(MIN(Paramètres!$B$12,(O35+MAX(P35,0)+MAX(Q35+AD35,0)+R35)/U35)-Paramètres!$B$11,0)*Paramètres!$C$12+MAX(MIN(Paramètres!$B$13,(O35+MAX(P35,0)+MAX(Q35+AD35,0)+R35)/U35)-Paramètres!$B$12,0)*Paramètres!$C$13)*U35</f>
        <v>39123.939642828293</v>
      </c>
      <c r="AG35" s="108">
        <f>MAX(AE35,AF35-Paramètres!$E$13*(T35-U35)*2)+MAX(P35,0)*Paramètres!$E$9+MAX(Q35+AD35,0)*Paramètres!$E$9+MAX(R35*Paramètres!$E$12,Paramètres!$E$11)</f>
        <v>40268.939642828293</v>
      </c>
      <c r="AH35" s="150">
        <f t="shared" si="7"/>
        <v>0</v>
      </c>
      <c r="AI35" s="149">
        <f t="shared" si="8"/>
        <v>0</v>
      </c>
      <c r="AJ35" s="108">
        <f>(MAX(MIN(Paramètres!$B$9,(O35+MAX(P35,0)+MAX(Q35+AI35,0)+R35)/T35),0)*Paramètres!$C$9+MAX(MIN(Paramètres!$B$10,(O35+MAX(P35,0)+MAX(Q35+AI35,0)+R35)/T35)-Paramètres!$B$9,0)*Paramètres!$C$10+MAX(MIN(Paramètres!$B$11,(O35+MAX(P35,0)+MAX(Q35+AI35,0)+R35)/T35)-Paramètres!$B$10,0)*Paramètres!$C$11+MAX(MIN(Paramètres!$B$12,(O35+MAX(P35,0)+MAX(Q35+AI35,0)+R35)/T35)-Paramètres!$B$11,0)*Paramètres!$C$12+MAX(MIN(Paramètres!$B$13,(O35+MAX(P35,0)+MAX(Q35+AI35,0)+R35)/T35)-Paramètres!$B$12,0)*Paramètres!$C$13)*T35</f>
        <v>39123.939642828293</v>
      </c>
      <c r="AK35" s="108">
        <f>(MAX(MIN(Paramètres!$B$9,(O35+MAX(P35,0)+MAX(Q35+AI35,0)+R35)/U35),0)*Paramètres!$C$9+MAX(MIN(Paramètres!$B$10,(O35+MAX(P35,0)+MAX(Q35+AI35,0)+R35)/U35)-Paramètres!$B$9,0)*Paramètres!$C$10+MAX(MIN(Paramètres!$B$11,(O35+MAX(P35,0)+MAX(Q35+AI35,0)+R35)/U35)-Paramètres!$B$10,0)*Paramètres!$C$11+MAX(MIN(Paramètres!$B$12,(O35+MAX(P35,0)+MAX(Q35+AI35,0)+R35)/U35)-Paramètres!$B$11,0)*Paramètres!$C$12+MAX(MIN(Paramètres!$B$13,(O35+MAX(P35,0)+MAX(Q35+AI35,0)+R35)/U35)-Paramètres!$B$12,0)*Paramètres!$C$13)*U35</f>
        <v>39123.939642828293</v>
      </c>
      <c r="AL35" s="108">
        <f>MAX(AJ35,AK35-Paramètres!$E$13*(T35-U35)*2)+MAX(P35,0)*Paramètres!$E$9+MAX(Q35+AI35,0)*Paramètres!$E$9+MAX(R35*Paramètres!$E$12,Paramètres!$E$11)</f>
        <v>40268.939642828293</v>
      </c>
      <c r="AM35" s="150">
        <f>MAX(AL35-11%/9*Simulation!$C$7*(B35&lt;=9),0)-X35</f>
        <v>0</v>
      </c>
      <c r="AN35" s="149">
        <f>MAX(MAX(C35-D35,0)-SUM(E35:H35),-MIN(SUM(O35:R35),Paramètres!$E$19+MAX(P35,0)))</f>
        <v>0</v>
      </c>
      <c r="AO35" s="108">
        <f t="shared" si="18"/>
        <v>0</v>
      </c>
      <c r="AP35" s="108">
        <f t="shared" si="22"/>
        <v>0</v>
      </c>
      <c r="AQ35" s="108">
        <f t="shared" si="9"/>
        <v>0</v>
      </c>
      <c r="AR35" s="108">
        <f t="shared" si="10"/>
        <v>0</v>
      </c>
      <c r="AS35" s="108">
        <f>(MAX(MIN(Paramètres!$B$9,(O35+P35+AQ35+MAX(Q35,0)+R35)/T35),0)*Paramètres!$C$9+MAX(MIN(Paramètres!$B$10,(O35+P35+AQ35+MAX(Q35,0)+R35)/T35)-Paramètres!$B$9,0)*Paramètres!$C$10+MAX(MIN(Paramètres!$B$11,(O35+P35+AQ35+MAX(Q35,0)+R35)/T35)-Paramètres!$B$10,0)*Paramètres!$C$11+MAX(MIN(Paramètres!$B$12,(O35+P35+AQ35+MAX(Q35,0)+R35)/T35)-Paramètres!$B$11,0)*Paramètres!$C$12+MAX(MIN(Paramètres!$B$13,(O35+P35+AQ35+MAX(Q35,0)+R35)/T35)-Paramètres!$B$12,0)*Paramètres!$C$13)*T35</f>
        <v>39123.939642828293</v>
      </c>
      <c r="AT35" s="108">
        <f>(MAX(MIN(Paramètres!$B$9,(O35+P35+AQ35+MAX(Q35,0)+R35)/U35),0)*Paramètres!$C$9+MAX(MIN(Paramètres!$B$10,(O35+P35+AQ35+MAX(Q35,0)+R35)/U35)-Paramètres!$B$9,0)*Paramètres!$C$10+MAX(MIN(Paramètres!$B$11,(O35+P35+AQ35+MAX(Q35,0)+R35)/U35)-Paramètres!$B$10,0)*Paramètres!$C$11+MAX(MIN(Paramètres!$B$12,(O35+P35+AQ35+MAX(Q35,0)+R35)/U35)-Paramètres!$B$11,0)*Paramètres!$C$12+MAX(MIN(Paramètres!$B$13,(O35+P35+AQ35+MAX(Q35,0)+R35)/U35)-Paramètres!$B$12,0)*Paramètres!$C$13)*U35</f>
        <v>39123.939642828293</v>
      </c>
      <c r="AU35" s="108">
        <f>MAX(AS35,AT35-Paramètres!$E$13*(T35-U35)*2)+MAX(P35+AQ35,0)*Paramètres!$E$9+MAX(Q35,0)*Paramètres!$E$9+MAX(R35*Paramètres!$E$12,Paramètres!$E$11)</f>
        <v>40268.939642828293</v>
      </c>
      <c r="AV35" s="150">
        <f t="shared" si="2"/>
        <v>0</v>
      </c>
      <c r="AW35" s="108">
        <f t="shared" si="3"/>
        <v>0</v>
      </c>
      <c r="AX35" s="108">
        <f>(MAX(MIN(Paramètres!$B$9,(O35+MAX(P35+AW35,0)+MAX(Q35,0)+R35)/T35),0)*Paramètres!$C$9+MAX(MIN(Paramètres!$B$10,(O35+MAX(P35+AW35,0)+MAX(Q35,0)+R35)/T35)-Paramètres!$B$9,0)*Paramètres!$C$10+MAX(MIN(Paramètres!$B$11,(O35+MAX(P35+AW35,0)+MAX(Q35,0)+R35)/T35)-Paramètres!$B$10,0)*Paramètres!$C$11+MAX(MIN(Paramètres!$B$12,(O35+MAX(P35+AW35,0)+MAX(Q35,0)+R35)/T35)-Paramètres!$B$11,0)*Paramètres!$C$12+MAX(MIN(Paramètres!$B$13,(O35+MAX(P35+AW35,0)+MAX(Q35,0)+R35)/T35)-Paramètres!$B$12,0)*Paramètres!$C$13)*T35</f>
        <v>39123.939642828293</v>
      </c>
      <c r="AY35" s="108">
        <f>(MAX(MIN(Paramètres!$B$9,(O35+MAX(P35+AW35,0)+MAX(Q35,0)+R35)/U35),0)*Paramètres!$C$9+MAX(MIN(Paramètres!$B$10,(O35+MAX(P35+AW35,0)+MAX(Q35,0)+R35)/U35)-Paramètres!$B$9,0)*Paramètres!$C$10+MAX(MIN(Paramètres!$B$11,(O35+MAX(P35+AW35,0)+MAX(Q35,0)+R35)/U35)-Paramètres!$B$10,0)*Paramètres!$C$11+MAX(MIN(Paramètres!$B$12,(O35+MAX(P35+AW35,0)+MAX(Q35,0)+R35)/U35)-Paramètres!$B$11,0)*Paramètres!$C$12+MAX(MIN(Paramètres!$B$13,(O35+MAX(P35+AW35,0)+MAX(Q35,0)+R35)/U35)-Paramètres!$B$12,0)*Paramètres!$C$13)*U35</f>
        <v>39123.939642828293</v>
      </c>
      <c r="AZ35" s="108">
        <f>MAX(AX35,AY35-Paramètres!$E$13*(T35-U35)*2)+MAX(P35+AW35,0)*Paramètres!$E$9+MAX(Q35,0)*Paramètres!$E$9+MAX(R35*Paramètres!$E$12,Paramètres!$E$11)</f>
        <v>40268.939642828293</v>
      </c>
      <c r="BA35" s="108">
        <f t="shared" si="4"/>
        <v>0</v>
      </c>
      <c r="BB35" s="149">
        <f>MAX(MAX(C35-D35,0)-SUM(E35:H35),-MIN(SUM(O35:R35),Paramètres!$E$19+MAX(P35,0)))</f>
        <v>0</v>
      </c>
      <c r="BC35" s="108">
        <f t="shared" si="20"/>
        <v>0</v>
      </c>
      <c r="BD35" s="108">
        <f t="shared" si="23"/>
        <v>0</v>
      </c>
      <c r="BE35" s="108">
        <f t="shared" si="11"/>
        <v>0</v>
      </c>
      <c r="BF35" s="108">
        <f t="shared" si="12"/>
        <v>0</v>
      </c>
      <c r="BG35" s="108">
        <f>(MAX(MIN(Paramètres!$B$9,(O35+P35+BE35+MAX(Q35,0)+R35)/T35),0)*Paramètres!$C$9+MAX(MIN(Paramètres!$B$10,(O35+P35+BE35+MAX(Q35,0)+R35)/T35)-Paramètres!$B$9,0)*Paramètres!$C$10+MAX(MIN(Paramètres!$B$11,(O35+P35+BE35+MAX(Q35,0)+R35)/T35)-Paramètres!$B$10,0)*Paramètres!$C$11+MAX(MIN(Paramètres!$B$12,(O35+P35+BE35+MAX(Q35,0)+R35)/T35)-Paramètres!$B$11,0)*Paramètres!$C$12+MAX(MIN(Paramètres!$B$13,(O35+P35+BE35+MAX(Q35,0)+R35)/T35)-Paramètres!$B$12,0)*Paramètres!$C$13)*T35</f>
        <v>39123.939642828293</v>
      </c>
      <c r="BH35" s="108">
        <f>(MAX(MIN(Paramètres!$B$9,(O35+P35+BE35+MAX(Q35,0)+R35)/U35),0)*Paramètres!$C$9+MAX(MIN(Paramètres!$B$10,(O35+P35+BE35+MAX(Q35,0)+R35)/U35)-Paramètres!$B$9,0)*Paramètres!$C$10+MAX(MIN(Paramètres!$B$11,(O35+P35+BE35+MAX(Q35,0)+R35)/U35)-Paramètres!$B$10,0)*Paramètres!$C$11+MAX(MIN(Paramètres!$B$12,(O35+P35+BE35+MAX(Q35,0)+R35)/U35)-Paramètres!$B$11,0)*Paramètres!$C$12+MAX(MIN(Paramètres!$B$13,(O35+P35+BE35+MAX(Q35,0)+R35)/U35)-Paramètres!$B$12,0)*Paramètres!$C$13)*U35</f>
        <v>39123.939642828293</v>
      </c>
      <c r="BI35" s="108">
        <f>MAX(BG35,BH35-Paramètres!$E$13*(T35-U35)*2)+MAX(P35+BE35,0)*Paramètres!$E$9+MAX(Q35,0)*Paramètres!$E$9+MAX(R35*Paramètres!$E$12,Paramètres!$E$11)</f>
        <v>40268.939642828293</v>
      </c>
      <c r="BJ35" s="150">
        <f>MAX(BI35-IFERROR(VLOOKUP(B35,Paramètres!$B$28:$C$39,2,FALSE),0)*MIN(MIN((Simulation!$C$7+Simulation!$C$12+Simulation!$C$8+Simulation!$C$10)/Simulation!$C$28,Paramètres!$C$26)*Simulation!$C$28,Paramètres!$C$25),0)-X35</f>
        <v>0</v>
      </c>
      <c r="BK35" s="108">
        <f t="shared" si="13"/>
        <v>0</v>
      </c>
      <c r="BL35" s="108">
        <f>(MAX(MIN(Paramètres!$B$9,(O35+MAX(P35+BK35,0)+MAX(Q35,0)+R35)/T35),0)*Paramètres!$C$9+MAX(MIN(Paramètres!$B$10,(O35+MAX(P35+BK35,0)+MAX(Q35,0)+R35)/T35)-Paramètres!$B$9,0)*Paramètres!$C$10+MAX(MIN(Paramètres!$B$11,(O35+MAX(P35+BK35,0)+MAX(Q35,0)+R35)/T35)-Paramètres!$B$10,0)*Paramètres!$C$11+MAX(MIN(Paramètres!$B$12,(O35+MAX(P35+BK35,0)+MAX(Q35,0)+R35)/T35)-Paramètres!$B$11,0)*Paramètres!$C$12+MAX(MIN(Paramètres!$B$13,(O35+MAX(P35+BK35,0)+MAX(Q35,0)+R35)/T35)-Paramètres!$B$12,0)*Paramètres!$C$13)*T35</f>
        <v>39123.939642828293</v>
      </c>
      <c r="BM35" s="108">
        <f>(MAX(MIN(Paramètres!$B$9,(O35+MAX(P35+BK35,0)+MAX(Q35,0)+R35)/U35),0)*Paramètres!$C$9+MAX(MIN(Paramètres!$B$10,(O35+MAX(P35+BK35,0)+MAX(Q35,0)+R35)/U35)-Paramètres!$B$9,0)*Paramètres!$C$10+MAX(MIN(Paramètres!$B$11,(O35+MAX(P35+BK35,0)+MAX(Q35,0)+R35)/U35)-Paramètres!$B$10,0)*Paramètres!$C$11+MAX(MIN(Paramètres!$B$12,(O35+MAX(P35+BK35,0)+MAX(Q35,0)+R35)/U35)-Paramètres!$B$11,0)*Paramètres!$C$12+MAX(MIN(Paramètres!$B$13,(O35+MAX(P35+BK35,0)+MAX(Q35,0)+R35)/U35)-Paramètres!$B$12,0)*Paramètres!$C$13)*U35</f>
        <v>39123.939642828293</v>
      </c>
      <c r="BN35" s="108">
        <f>MAX(BL35,BM35-Paramètres!$E$13*(T35-U35)*2)+MAX(P35+BK35,0)*Paramètres!$E$9+MAX(Q35,0)*Paramètres!$E$9+MAX(R35*Paramètres!$E$12,Paramètres!$E$11)</f>
        <v>40268.939642828293</v>
      </c>
      <c r="BO35" s="108">
        <f>MAX(BN35-IFERROR(VLOOKUP(B35,Paramètres!$B$28:$C$39,2,FALSE),0)*MIN(MIN((Simulation!$C$7+Simulation!$C$12+Simulation!$C$8+Simulation!$C$10)/Simulation!$C$28,Paramètres!$C$26)*Simulation!$C$28,Paramètres!$C$25),0)-X35</f>
        <v>0</v>
      </c>
      <c r="BP35" s="126">
        <f t="shared" si="14"/>
        <v>0</v>
      </c>
      <c r="BQ35" s="108">
        <f t="shared" si="15"/>
        <v>0</v>
      </c>
      <c r="BR35" s="108">
        <f t="shared" si="21"/>
        <v>0</v>
      </c>
      <c r="BS35" s="108">
        <f t="shared" si="19"/>
        <v>0</v>
      </c>
      <c r="BT35" s="108">
        <f t="shared" si="16"/>
        <v>0</v>
      </c>
      <c r="BU35" s="108">
        <f>(MAX(MIN(Paramètres!$B$9,(O35+MAX(P35,0)+MAX(Q35,0)+R35+BS35)/T35),0)*Paramètres!$C$9+MAX(MIN(Paramètres!$B$10,(O35+MAX(P35,0)+MAX(Q35,0)+R35+BS35)/T35)-Paramètres!$B$9,0)*Paramètres!$C$10+MAX(MIN(Paramètres!$B$11,(O35+MAX(P35,0)+MAX(Q35,0)+R35+BS35)/T35)-Paramètres!$B$10,0)*Paramètres!$C$11+MAX(MIN(Paramètres!$B$12,(O35+MAX(P35,0)+MAX(Q35,0)+R35+BS35)/T35)-Paramètres!$B$11,0)*Paramètres!$C$12+MAX(MIN(Paramètres!$B$13,(O35+MAX(P35,0)+MAX(Q35,0)+R35+BS35)/T35)-Paramètres!$B$12,0)*Paramètres!$C$13)*T35</f>
        <v>39123.939642828293</v>
      </c>
      <c r="BV35" s="108">
        <f>(MAX(MIN(Paramètres!$B$9,(O35+MAX(P35,0)+MAX(Q35,0)+R35+BS35)/U35),0)*Paramètres!$C$9+MAX(MIN(Paramètres!$B$10,(O35+MAX(P35,0)+MAX(Q35,0)+R35+BS35)/U35)-Paramètres!$B$9,0)*Paramètres!$C$10+MAX(MIN(Paramètres!$B$11,(O35+MAX(P35,0)+MAX(Q35,0)+R35+BS35)/U35)-Paramètres!$B$10,0)*Paramètres!$C$11+MAX(MIN(Paramètres!$B$12,(O35+MAX(P35,0)+MAX(Q35,0)+R35+BS35)/U35)-Paramètres!$B$11,0)*Paramètres!$C$12+MAX(MIN(Paramètres!$B$13,(O35+MAX(P35,0)+MAX(Q35,0)+R35+BS35)/U35)-Paramètres!$B$12,0)*Paramètres!$C$13)*U35</f>
        <v>39123.939642828293</v>
      </c>
      <c r="BW35" s="108">
        <f>MAX(BU35,BV35-Paramètres!$E$13*(T35-U35)*2)+MAX(P35,0)*Paramètres!$E$9+MAX(Q35,0)*Paramètres!$E$9+MAX((R35+BS35)*Paramètres!$E$12,Paramètres!$E$11)</f>
        <v>40268.939642828293</v>
      </c>
      <c r="BX35" s="108">
        <f t="shared" si="17"/>
        <v>0</v>
      </c>
      <c r="BY35" s="149">
        <f>(C35-SUM(D35:N35)+MIN(BY34,0))*(B35&lt;=Simulation!$F$24)</f>
        <v>0</v>
      </c>
      <c r="BZ35" s="108">
        <f>(Simulation!$F$22-(Simulation!$C$13-SUM($I$8:$N$37)))*(B35=Simulation!$F$24)</f>
        <v>0</v>
      </c>
      <c r="CA35" s="108">
        <f>MAX(MIN(BY35+BZ35,Paramètres!$B$17)*Paramètres!$C$17+MAX(MIN(BY35+BZ35,Paramètres!$B$18)-Paramètres!$B$17,0)*Paramètres!$C$18+MAX(MIN(BY35+BZ35,Paramètres!$B$19)-Paramètres!$B$18,0)*Paramètres!$C$19,0)</f>
        <v>0</v>
      </c>
      <c r="CB35" s="150">
        <f>MAX(MIN(BY35,Paramètres!$B$17)*Paramètres!$C$17+MAX(MIN(BY35,Paramètres!$B$18)-Paramètres!$B$17,0)*Paramètres!$C$18+MAX(MIN(BY35,Paramètres!$B$19)-Paramètres!$B$18,0)*Paramètres!$C$19,0)</f>
        <v>0</v>
      </c>
      <c r="CC35" s="108">
        <f>(C35-SUM(D35:N35)+MIN(CC34,0))*(B35&lt;=Simulation!$F$24)</f>
        <v>0</v>
      </c>
      <c r="CD35" s="108">
        <f>(Simulation!$F$22-(Simulation!$C$13-SUM($I$8:$N$37)))*(B35=Simulation!$F$24)</f>
        <v>0</v>
      </c>
      <c r="CE35" s="108">
        <f>MAX(MIN(CC35+CD35,Paramètres!$B$17)*Paramètres!$C$17+MAX(MIN(CC35+CD35,Paramètres!$B$18)-Paramètres!$B$17,0)*Paramètres!$C$18+MAX(MIN(CC35+CD35,Paramètres!$B$19)-Paramètres!$B$18,0)*Paramètres!$C$19,0)</f>
        <v>0</v>
      </c>
      <c r="CF35" s="108">
        <f>MAX(MIN(CC35,Paramètres!$B$17)*Paramètres!$C$17+MAX(MIN(CC35,Paramètres!$B$18)-Paramètres!$B$17,0)*Paramètres!$C$18+MAX(MIN(CC35,Paramètres!$B$19)-Paramètres!$B$18,0)*Paramètres!$C$19,0)</f>
        <v>0</v>
      </c>
      <c r="CG35" s="108">
        <f>MAX(CC35+CD35-CF35,0)*(1-Paramètres!$E$17)*Paramètres!$E$18</f>
        <v>0</v>
      </c>
      <c r="CH35" s="54">
        <f>MAX(CC35-CF35,0)*(1-Paramètres!$E$17)*Paramètres!$E$18</f>
        <v>0</v>
      </c>
      <c r="CI35" s="127">
        <f ca="1">OFFSET($AC35,0,VLOOKUP(Simulation!$C$27,Simulation!$Q$5:$R$14,2,FALSE))</f>
        <v>0</v>
      </c>
    </row>
    <row r="36" spans="2:87" x14ac:dyDescent="0.2">
      <c r="B36" s="40">
        <f t="shared" si="0"/>
        <v>29</v>
      </c>
      <c r="C36" s="143">
        <f>SUMPRODUCT('Détail trésorerie'!$H$8:$H$367*('Détail trésorerie'!$B$8:$B$367&gt;$B35*12)*('Détail trésorerie'!$B$8:$B$367&lt;=$B36*12))</f>
        <v>0</v>
      </c>
      <c r="D36" s="143">
        <f>SUMPRODUCT('Détail trésorerie'!$E$8:$E$367*('Détail trésorerie'!$B$8:$B$367&gt;$B35*12)*('Détail trésorerie'!$B$8:$B$367&lt;=$B36*12))</f>
        <v>0</v>
      </c>
      <c r="E36" s="144">
        <f>SUMPRODUCT('Détail trésorerie'!$J$8:$J$367*('Détail trésorerie'!$B$8:$B$367&gt;$B35*12)*('Détail trésorerie'!$B$8:$B$367&lt;=$B36*12))</f>
        <v>0</v>
      </c>
      <c r="F36" s="144">
        <f>SUMPRODUCT('Détail trésorerie'!$K$8:$K$367*('Détail trésorerie'!$B$8:$B$367&gt;$B35*12)*('Détail trésorerie'!$B$8:$B$367&lt;=$B36*12))</f>
        <v>0</v>
      </c>
      <c r="G36" s="144">
        <f>SUMPRODUCT('Détail trésorerie'!$L$8:$L$367*('Détail trésorerie'!$B$8:$B$367&gt;$B35*12)*('Détail trésorerie'!$B$8:$B$367&lt;=$B36*12))</f>
        <v>0</v>
      </c>
      <c r="H36" s="145">
        <f>SUMPRODUCT('Détail trésorerie'!$M$8:$M$367*('Détail trésorerie'!$B$8:$B$367&gt;$B35*12)*('Détail trésorerie'!$B$8:$B$367&lt;=$B36*12))</f>
        <v>0</v>
      </c>
      <c r="I36" s="126">
        <f>MAX(MIN(Paramètres!$E$3*Simulation!$C$7*Paramètres!$C$3,Simulation!$C$7*Paramètres!$E$3-SUM(I$8:$I35)),0)*(B36&lt;=Simulation!$F$24)</f>
        <v>0</v>
      </c>
      <c r="J36" s="108">
        <f>MAX(MIN(Paramètres!$E$4*Simulation!$C$7*Paramètres!$C$4,Simulation!$C$7*Paramètres!$E$4-SUM($J$8:J35)),0)*(B36&lt;=Simulation!$F$24)</f>
        <v>0</v>
      </c>
      <c r="K36" s="108">
        <f>MAX(MIN(Paramètres!$E$5*Simulation!$C$8*Paramètres!$C$5,Paramètres!$E$5*Simulation!$C$8-SUM($K$8:K35)),0)*(B36&lt;=Simulation!$F$24)</f>
        <v>0</v>
      </c>
      <c r="L36" s="108">
        <v>0</v>
      </c>
      <c r="M36" s="108">
        <v>0</v>
      </c>
      <c r="N36" s="108">
        <f>MAX(MIN(Paramètres!$C$6*(Simulation!$C$10+Simulation!$C$11+Simulation!$C$12),(Simulation!$C$10+Simulation!$C$11+Simulation!$C$12)-SUM(N$8:N35)),0)*(B36&lt;=Simulation!$F$24)</f>
        <v>0</v>
      </c>
      <c r="O36" s="148">
        <f>25000*8/2*(1+Emprunteur!$F$7)^$B36</f>
        <v>133450.38765672338</v>
      </c>
      <c r="P36" s="165">
        <f>0*(1+Emprunteur!$F$8)^$B36</f>
        <v>0</v>
      </c>
      <c r="Q36" s="165">
        <f>0*(1+Emprunteur!$F$9)^$B36</f>
        <v>0</v>
      </c>
      <c r="R36" s="165">
        <f>0*(1+Emprunteur!$F$10)^$B36</f>
        <v>0</v>
      </c>
      <c r="S36" s="108">
        <f t="shared" si="5"/>
        <v>133450.38765672338</v>
      </c>
      <c r="T36" s="157">
        <v>1</v>
      </c>
      <c r="U36" s="157">
        <v>1</v>
      </c>
      <c r="V36" s="108">
        <f>(MAX(MIN(Paramètres!$B$9,S36/T36),0)*Paramètres!$C$9+MAX(MIN(Paramètres!$B$10,S36/T36)-Paramètres!$B$9,0)*Paramètres!$C$10+MAX(MIN(Paramètres!$B$11,S36/T36)-Paramètres!$B$10,0)*Paramètres!$C$11+MAX(MIN(Paramètres!$B$12,S36/T36)-Paramètres!$B$11,0)*Paramètres!$C$12+MAX(MIN(Paramètres!$B$13,S36/T36)-Paramètres!$B$12,0)*Paramètres!$C$13)*T36</f>
        <v>39665.66893925659</v>
      </c>
      <c r="W36" s="108">
        <f>(MAX(MIN(Paramètres!$B$9,S36/U36),0)*Paramètres!$C$9+MAX(MIN(Paramètres!$B$10,S36/U36)-Paramètres!$B$9,0)*Paramètres!$C$10+MAX(MIN(Paramètres!$B$11,S36/U36)-Paramètres!$B$10,0)*Paramètres!$C$11+MAX(MIN(Paramètres!$B$12,S36/U36)-Paramètres!$B$11,0)*Paramètres!$C$12+MAX(MIN(Paramètres!$B$13,S36/U36)-Paramètres!$B$12,0)*Paramètres!$C$13)*U36</f>
        <v>39665.66893925659</v>
      </c>
      <c r="X36" s="108">
        <f>MAX(V36,W36-Paramètres!$E$13*(T36-U36)*2)+MAX(P36,0)*Paramètres!$E$9+MAX(Q36,0)*Paramètres!$E$9+MAX(R36*Paramètres!$E$12,Paramètres!$E$11)</f>
        <v>40810.66893925659</v>
      </c>
      <c r="Y36" s="126">
        <f>(C36-SUM(D36:N36)+MIN(Y35,0))*(B36&lt;=Simulation!$F$24)</f>
        <v>0</v>
      </c>
      <c r="Z36" s="108">
        <f>(MAX(MIN(Paramètres!$B$9,(O36+MAX(P36,0)+MAX(Q36+Y36,0)+R36)/T36),0)*Paramètres!$C$9+MAX(MIN(Paramètres!$B$10,(O36+MAX(P36,0)+MAX(Q36+Y36,0)+R36)/T36)-Paramètres!$B$9,0)*Paramètres!$C$10+MAX(MIN(Paramètres!$B$11,(O36+MAX(P36,0)+MAX(Q36+Y36,0)+R36)/T36)-Paramètres!$B$10,0)*Paramètres!$C$11+MAX(MIN(Paramètres!$B$12,(O36+MAX(P36,0)+MAX(Q36+Y36,0)+R36)/T36)-Paramètres!$B$11,0)*Paramètres!$C$12+MAX(MIN(Paramètres!$B$13,(O36+MAX(P36,0)+MAX(Q36+Y36,0)+R36)/T36)-Paramètres!$B$12,0)*Paramètres!$C$13)*T36</f>
        <v>39665.66893925659</v>
      </c>
      <c r="AA36" s="108">
        <f>(MAX(MIN(Paramètres!$B$9,(O36+MAX(P36,0)+MAX(Q36+Y36,0)+R36)/U36),0)*Paramètres!$C$9+MAX(MIN(Paramètres!$B$10,(O36+MAX(P36,0)+MAX(Q36+Y36,0)+R36)/U36)-Paramètres!$B$9,0)*Paramètres!$C$10+MAX(MIN(Paramètres!$B$11,(O36+MAX(P36,0)+MAX(Q36+Y36,0)+R36)/U36)-Paramètres!$B$10,0)*Paramètres!$C$11+MAX(MIN(Paramètres!$B$12,(O36+MAX(P36,0)+MAX(Q36+Y36,0)+R36)/U36)-Paramètres!$B$11,0)*Paramètres!$C$12+MAX(MIN(Paramètres!$B$13,(O36+MAX(P36,0)+MAX(Q36+Y36,0)+R36)/U36)-Paramètres!$B$12,0)*Paramètres!$C$13)*U36</f>
        <v>39665.66893925659</v>
      </c>
      <c r="AB36" s="108">
        <f>MAX(Z36,AA36-Paramètres!$E$13*(T36-U36)*2)+MAX(P36,0)*Paramètres!$E$9+MAX(Q36+Y36,0)*Paramètres!$E$9+MAX(R36*Paramètres!$E$12,Paramètres!$E$11)</f>
        <v>40810.66893925659</v>
      </c>
      <c r="AC36" s="108">
        <f t="shared" si="6"/>
        <v>0</v>
      </c>
      <c r="AD36" s="149">
        <f t="shared" si="1"/>
        <v>0</v>
      </c>
      <c r="AE36" s="108">
        <f>(MAX(MIN(Paramètres!$B$9,(O36+MAX(P36,0)+MAX(Q36+AD36,0)+R36)/T36),0)*Paramètres!$C$9+MAX(MIN(Paramètres!$B$10,(O36+MAX(P36,0)+MAX(Q36+AD36,0)+R36)/T36)-Paramètres!$B$9,0)*Paramètres!$C$10+MAX(MIN(Paramètres!$B$11,(O36+MAX(P36,0)+MAX(Q36+AD36,0)+R36)/T36)-Paramètres!$B$10,0)*Paramètres!$C$11+MAX(MIN(Paramètres!$B$12,(O36+MAX(P36,0)+MAX(Q36+AD36,0)+R36)/T36)-Paramètres!$B$11,0)*Paramètres!$C$12+MAX(MIN(Paramètres!$B$13,(O36+MAX(P36,0)+MAX(Q36+AD36,0)+R36)/T36)-Paramètres!$B$12,0)*Paramètres!$C$13)*T36</f>
        <v>39665.66893925659</v>
      </c>
      <c r="AF36" s="108">
        <f>(MAX(MIN(Paramètres!$B$9,(O36+MAX(P36,0)+MAX(Q36+AD36,0)+R36)/U36),0)*Paramètres!$C$9+MAX(MIN(Paramètres!$B$10,(O36+MAX(P36,0)+MAX(Q36+AD36,0)+R36)/U36)-Paramètres!$B$9,0)*Paramètres!$C$10+MAX(MIN(Paramètres!$B$11,(O36+MAX(P36,0)+MAX(Q36+AD36,0)+R36)/U36)-Paramètres!$B$10,0)*Paramètres!$C$11+MAX(MIN(Paramètres!$B$12,(O36+MAX(P36,0)+MAX(Q36+AD36,0)+R36)/U36)-Paramètres!$B$11,0)*Paramètres!$C$12+MAX(MIN(Paramètres!$B$13,(O36+MAX(P36,0)+MAX(Q36+AD36,0)+R36)/U36)-Paramètres!$B$12,0)*Paramètres!$C$13)*U36</f>
        <v>39665.66893925659</v>
      </c>
      <c r="AG36" s="108">
        <f>MAX(AE36,AF36-Paramètres!$E$13*(T36-U36)*2)+MAX(P36,0)*Paramètres!$E$9+MAX(Q36+AD36,0)*Paramètres!$E$9+MAX(R36*Paramètres!$E$12,Paramètres!$E$11)</f>
        <v>40810.66893925659</v>
      </c>
      <c r="AH36" s="150">
        <f t="shared" si="7"/>
        <v>0</v>
      </c>
      <c r="AI36" s="149">
        <f t="shared" si="8"/>
        <v>0</v>
      </c>
      <c r="AJ36" s="108">
        <f>(MAX(MIN(Paramètres!$B$9,(O36+MAX(P36,0)+MAX(Q36+AI36,0)+R36)/T36),0)*Paramètres!$C$9+MAX(MIN(Paramètres!$B$10,(O36+MAX(P36,0)+MAX(Q36+AI36,0)+R36)/T36)-Paramètres!$B$9,0)*Paramètres!$C$10+MAX(MIN(Paramètres!$B$11,(O36+MAX(P36,0)+MAX(Q36+AI36,0)+R36)/T36)-Paramètres!$B$10,0)*Paramètres!$C$11+MAX(MIN(Paramètres!$B$12,(O36+MAX(P36,0)+MAX(Q36+AI36,0)+R36)/T36)-Paramètres!$B$11,0)*Paramètres!$C$12+MAX(MIN(Paramètres!$B$13,(O36+MAX(P36,0)+MAX(Q36+AI36,0)+R36)/T36)-Paramètres!$B$12,0)*Paramètres!$C$13)*T36</f>
        <v>39665.66893925659</v>
      </c>
      <c r="AK36" s="108">
        <f>(MAX(MIN(Paramètres!$B$9,(O36+MAX(P36,0)+MAX(Q36+AI36,0)+R36)/U36),0)*Paramètres!$C$9+MAX(MIN(Paramètres!$B$10,(O36+MAX(P36,0)+MAX(Q36+AI36,0)+R36)/U36)-Paramètres!$B$9,0)*Paramètres!$C$10+MAX(MIN(Paramètres!$B$11,(O36+MAX(P36,0)+MAX(Q36+AI36,0)+R36)/U36)-Paramètres!$B$10,0)*Paramètres!$C$11+MAX(MIN(Paramètres!$B$12,(O36+MAX(P36,0)+MAX(Q36+AI36,0)+R36)/U36)-Paramètres!$B$11,0)*Paramètres!$C$12+MAX(MIN(Paramètres!$B$13,(O36+MAX(P36,0)+MAX(Q36+AI36,0)+R36)/U36)-Paramètres!$B$12,0)*Paramètres!$C$13)*U36</f>
        <v>39665.66893925659</v>
      </c>
      <c r="AL36" s="108">
        <f>MAX(AJ36,AK36-Paramètres!$E$13*(T36-U36)*2)+MAX(P36,0)*Paramètres!$E$9+MAX(Q36+AI36,0)*Paramètres!$E$9+MAX(R36*Paramètres!$E$12,Paramètres!$E$11)</f>
        <v>40810.66893925659</v>
      </c>
      <c r="AM36" s="150">
        <f>MAX(AL36-11%/9*Simulation!$C$7*(B36&lt;=9),0)-X36</f>
        <v>0</v>
      </c>
      <c r="AN36" s="149">
        <f>MAX(MAX(C36-D36,0)-SUM(E36:H36),-MIN(SUM(O36:R36),Paramètres!$E$19+MAX(P36,0)))</f>
        <v>0</v>
      </c>
      <c r="AO36" s="108">
        <f t="shared" si="18"/>
        <v>0</v>
      </c>
      <c r="AP36" s="108">
        <f t="shared" si="22"/>
        <v>0</v>
      </c>
      <c r="AQ36" s="108">
        <f t="shared" si="9"/>
        <v>0</v>
      </c>
      <c r="AR36" s="108">
        <f t="shared" si="10"/>
        <v>0</v>
      </c>
      <c r="AS36" s="108">
        <f>(MAX(MIN(Paramètres!$B$9,(O36+P36+AQ36+MAX(Q36,0)+R36)/T36),0)*Paramètres!$C$9+MAX(MIN(Paramètres!$B$10,(O36+P36+AQ36+MAX(Q36,0)+R36)/T36)-Paramètres!$B$9,0)*Paramètres!$C$10+MAX(MIN(Paramètres!$B$11,(O36+P36+AQ36+MAX(Q36,0)+R36)/T36)-Paramètres!$B$10,0)*Paramètres!$C$11+MAX(MIN(Paramètres!$B$12,(O36+P36+AQ36+MAX(Q36,0)+R36)/T36)-Paramètres!$B$11,0)*Paramètres!$C$12+MAX(MIN(Paramètres!$B$13,(O36+P36+AQ36+MAX(Q36,0)+R36)/T36)-Paramètres!$B$12,0)*Paramètres!$C$13)*T36</f>
        <v>39665.66893925659</v>
      </c>
      <c r="AT36" s="108">
        <f>(MAX(MIN(Paramètres!$B$9,(O36+P36+AQ36+MAX(Q36,0)+R36)/U36),0)*Paramètres!$C$9+MAX(MIN(Paramètres!$B$10,(O36+P36+AQ36+MAX(Q36,0)+R36)/U36)-Paramètres!$B$9,0)*Paramètres!$C$10+MAX(MIN(Paramètres!$B$11,(O36+P36+AQ36+MAX(Q36,0)+R36)/U36)-Paramètres!$B$10,0)*Paramètres!$C$11+MAX(MIN(Paramètres!$B$12,(O36+P36+AQ36+MAX(Q36,0)+R36)/U36)-Paramètres!$B$11,0)*Paramètres!$C$12+MAX(MIN(Paramètres!$B$13,(O36+P36+AQ36+MAX(Q36,0)+R36)/U36)-Paramètres!$B$12,0)*Paramètres!$C$13)*U36</f>
        <v>39665.66893925659</v>
      </c>
      <c r="AU36" s="108">
        <f>MAX(AS36,AT36-Paramètres!$E$13*(T36-U36)*2)+MAX(P36+AQ36,0)*Paramètres!$E$9+MAX(Q36,0)*Paramètres!$E$9+MAX(R36*Paramètres!$E$12,Paramètres!$E$11)</f>
        <v>40810.66893925659</v>
      </c>
      <c r="AV36" s="150">
        <f t="shared" si="2"/>
        <v>0</v>
      </c>
      <c r="AW36" s="108">
        <f t="shared" si="3"/>
        <v>0</v>
      </c>
      <c r="AX36" s="108">
        <f>(MAX(MIN(Paramètres!$B$9,(O36+MAX(P36+AW36,0)+MAX(Q36,0)+R36)/T36),0)*Paramètres!$C$9+MAX(MIN(Paramètres!$B$10,(O36+MAX(P36+AW36,0)+MAX(Q36,0)+R36)/T36)-Paramètres!$B$9,0)*Paramètres!$C$10+MAX(MIN(Paramètres!$B$11,(O36+MAX(P36+AW36,0)+MAX(Q36,0)+R36)/T36)-Paramètres!$B$10,0)*Paramètres!$C$11+MAX(MIN(Paramètres!$B$12,(O36+MAX(P36+AW36,0)+MAX(Q36,0)+R36)/T36)-Paramètres!$B$11,0)*Paramètres!$C$12+MAX(MIN(Paramètres!$B$13,(O36+MAX(P36+AW36,0)+MAX(Q36,0)+R36)/T36)-Paramètres!$B$12,0)*Paramètres!$C$13)*T36</f>
        <v>39665.66893925659</v>
      </c>
      <c r="AY36" s="108">
        <f>(MAX(MIN(Paramètres!$B$9,(O36+MAX(P36+AW36,0)+MAX(Q36,0)+R36)/U36),0)*Paramètres!$C$9+MAX(MIN(Paramètres!$B$10,(O36+MAX(P36+AW36,0)+MAX(Q36,0)+R36)/U36)-Paramètres!$B$9,0)*Paramètres!$C$10+MAX(MIN(Paramètres!$B$11,(O36+MAX(P36+AW36,0)+MAX(Q36,0)+R36)/U36)-Paramètres!$B$10,0)*Paramètres!$C$11+MAX(MIN(Paramètres!$B$12,(O36+MAX(P36+AW36,0)+MAX(Q36,0)+R36)/U36)-Paramètres!$B$11,0)*Paramètres!$C$12+MAX(MIN(Paramètres!$B$13,(O36+MAX(P36+AW36,0)+MAX(Q36,0)+R36)/U36)-Paramètres!$B$12,0)*Paramètres!$C$13)*U36</f>
        <v>39665.66893925659</v>
      </c>
      <c r="AZ36" s="108">
        <f>MAX(AX36,AY36-Paramètres!$E$13*(T36-U36)*2)+MAX(P36+AW36,0)*Paramètres!$E$9+MAX(Q36,0)*Paramètres!$E$9+MAX(R36*Paramètres!$E$12,Paramètres!$E$11)</f>
        <v>40810.66893925659</v>
      </c>
      <c r="BA36" s="108">
        <f t="shared" si="4"/>
        <v>0</v>
      </c>
      <c r="BB36" s="149">
        <f>MAX(MAX(C36-D36,0)-SUM(E36:H36),-MIN(SUM(O36:R36),Paramètres!$E$19+MAX(P36,0)))</f>
        <v>0</v>
      </c>
      <c r="BC36" s="108">
        <f t="shared" si="20"/>
        <v>0</v>
      </c>
      <c r="BD36" s="108">
        <f t="shared" si="23"/>
        <v>0</v>
      </c>
      <c r="BE36" s="108">
        <f t="shared" si="11"/>
        <v>0</v>
      </c>
      <c r="BF36" s="108">
        <f t="shared" si="12"/>
        <v>0</v>
      </c>
      <c r="BG36" s="108">
        <f>(MAX(MIN(Paramètres!$B$9,(O36+P36+BE36+MAX(Q36,0)+R36)/T36),0)*Paramètres!$C$9+MAX(MIN(Paramètres!$B$10,(O36+P36+BE36+MAX(Q36,0)+R36)/T36)-Paramètres!$B$9,0)*Paramètres!$C$10+MAX(MIN(Paramètres!$B$11,(O36+P36+BE36+MAX(Q36,0)+R36)/T36)-Paramètres!$B$10,0)*Paramètres!$C$11+MAX(MIN(Paramètres!$B$12,(O36+P36+BE36+MAX(Q36,0)+R36)/T36)-Paramètres!$B$11,0)*Paramètres!$C$12+MAX(MIN(Paramètres!$B$13,(O36+P36+BE36+MAX(Q36,0)+R36)/T36)-Paramètres!$B$12,0)*Paramètres!$C$13)*T36</f>
        <v>39665.66893925659</v>
      </c>
      <c r="BH36" s="108">
        <f>(MAX(MIN(Paramètres!$B$9,(O36+P36+BE36+MAX(Q36,0)+R36)/U36),0)*Paramètres!$C$9+MAX(MIN(Paramètres!$B$10,(O36+P36+BE36+MAX(Q36,0)+R36)/U36)-Paramètres!$B$9,0)*Paramètres!$C$10+MAX(MIN(Paramètres!$B$11,(O36+P36+BE36+MAX(Q36,0)+R36)/U36)-Paramètres!$B$10,0)*Paramètres!$C$11+MAX(MIN(Paramètres!$B$12,(O36+P36+BE36+MAX(Q36,0)+R36)/U36)-Paramètres!$B$11,0)*Paramètres!$C$12+MAX(MIN(Paramètres!$B$13,(O36+P36+BE36+MAX(Q36,0)+R36)/U36)-Paramètres!$B$12,0)*Paramètres!$C$13)*U36</f>
        <v>39665.66893925659</v>
      </c>
      <c r="BI36" s="108">
        <f>MAX(BG36,BH36-Paramètres!$E$13*(T36-U36)*2)+MAX(P36+BE36,0)*Paramètres!$E$9+MAX(Q36,0)*Paramètres!$E$9+MAX(R36*Paramètres!$E$12,Paramètres!$E$11)</f>
        <v>40810.66893925659</v>
      </c>
      <c r="BJ36" s="150">
        <f>MAX(BI36-IFERROR(VLOOKUP(B36,Paramètres!$B$28:$C$39,2,FALSE),0)*MIN(MIN((Simulation!$C$7+Simulation!$C$12+Simulation!$C$8+Simulation!$C$10)/Simulation!$C$28,Paramètres!$C$26)*Simulation!$C$28,Paramètres!$C$25),0)-X36</f>
        <v>0</v>
      </c>
      <c r="BK36" s="108">
        <f t="shared" si="13"/>
        <v>0</v>
      </c>
      <c r="BL36" s="108">
        <f>(MAX(MIN(Paramètres!$B$9,(O36+MAX(P36+BK36,0)+MAX(Q36,0)+R36)/T36),0)*Paramètres!$C$9+MAX(MIN(Paramètres!$B$10,(O36+MAX(P36+BK36,0)+MAX(Q36,0)+R36)/T36)-Paramètres!$B$9,0)*Paramètres!$C$10+MAX(MIN(Paramètres!$B$11,(O36+MAX(P36+BK36,0)+MAX(Q36,0)+R36)/T36)-Paramètres!$B$10,0)*Paramètres!$C$11+MAX(MIN(Paramètres!$B$12,(O36+MAX(P36+BK36,0)+MAX(Q36,0)+R36)/T36)-Paramètres!$B$11,0)*Paramètres!$C$12+MAX(MIN(Paramètres!$B$13,(O36+MAX(P36+BK36,0)+MAX(Q36,0)+R36)/T36)-Paramètres!$B$12,0)*Paramètres!$C$13)*T36</f>
        <v>39665.66893925659</v>
      </c>
      <c r="BM36" s="108">
        <f>(MAX(MIN(Paramètres!$B$9,(O36+MAX(P36+BK36,0)+MAX(Q36,0)+R36)/U36),0)*Paramètres!$C$9+MAX(MIN(Paramètres!$B$10,(O36+MAX(P36+BK36,0)+MAX(Q36,0)+R36)/U36)-Paramètres!$B$9,0)*Paramètres!$C$10+MAX(MIN(Paramètres!$B$11,(O36+MAX(P36+BK36,0)+MAX(Q36,0)+R36)/U36)-Paramètres!$B$10,0)*Paramètres!$C$11+MAX(MIN(Paramètres!$B$12,(O36+MAX(P36+BK36,0)+MAX(Q36,0)+R36)/U36)-Paramètres!$B$11,0)*Paramètres!$C$12+MAX(MIN(Paramètres!$B$13,(O36+MAX(P36+BK36,0)+MAX(Q36,0)+R36)/U36)-Paramètres!$B$12,0)*Paramètres!$C$13)*U36</f>
        <v>39665.66893925659</v>
      </c>
      <c r="BN36" s="108">
        <f>MAX(BL36,BM36-Paramètres!$E$13*(T36-U36)*2)+MAX(P36+BK36,0)*Paramètres!$E$9+MAX(Q36,0)*Paramètres!$E$9+MAX(R36*Paramètres!$E$12,Paramètres!$E$11)</f>
        <v>40810.66893925659</v>
      </c>
      <c r="BO36" s="108">
        <f>MAX(BN36-IFERROR(VLOOKUP(B36,Paramètres!$B$28:$C$39,2,FALSE),0)*MIN(MIN((Simulation!$C$7+Simulation!$C$12+Simulation!$C$8+Simulation!$C$10)/Simulation!$C$28,Paramètres!$C$26)*Simulation!$C$28,Paramètres!$C$25),0)-X36</f>
        <v>0</v>
      </c>
      <c r="BP36" s="126">
        <f t="shared" si="14"/>
        <v>0</v>
      </c>
      <c r="BQ36" s="108">
        <f t="shared" si="15"/>
        <v>0</v>
      </c>
      <c r="BR36" s="108">
        <f t="shared" si="21"/>
        <v>0</v>
      </c>
      <c r="BS36" s="108">
        <f t="shared" si="19"/>
        <v>0</v>
      </c>
      <c r="BT36" s="108">
        <f t="shared" si="16"/>
        <v>0</v>
      </c>
      <c r="BU36" s="108">
        <f>(MAX(MIN(Paramètres!$B$9,(O36+MAX(P36,0)+MAX(Q36,0)+R36+BS36)/T36),0)*Paramètres!$C$9+MAX(MIN(Paramètres!$B$10,(O36+MAX(P36,0)+MAX(Q36,0)+R36+BS36)/T36)-Paramètres!$B$9,0)*Paramètres!$C$10+MAX(MIN(Paramètres!$B$11,(O36+MAX(P36,0)+MAX(Q36,0)+R36+BS36)/T36)-Paramètres!$B$10,0)*Paramètres!$C$11+MAX(MIN(Paramètres!$B$12,(O36+MAX(P36,0)+MAX(Q36,0)+R36+BS36)/T36)-Paramètres!$B$11,0)*Paramètres!$C$12+MAX(MIN(Paramètres!$B$13,(O36+MAX(P36,0)+MAX(Q36,0)+R36+BS36)/T36)-Paramètres!$B$12,0)*Paramètres!$C$13)*T36</f>
        <v>39665.66893925659</v>
      </c>
      <c r="BV36" s="108">
        <f>(MAX(MIN(Paramètres!$B$9,(O36+MAX(P36,0)+MAX(Q36,0)+R36+BS36)/U36),0)*Paramètres!$C$9+MAX(MIN(Paramètres!$B$10,(O36+MAX(P36,0)+MAX(Q36,0)+R36+BS36)/U36)-Paramètres!$B$9,0)*Paramètres!$C$10+MAX(MIN(Paramètres!$B$11,(O36+MAX(P36,0)+MAX(Q36,0)+R36+BS36)/U36)-Paramètres!$B$10,0)*Paramètres!$C$11+MAX(MIN(Paramètres!$B$12,(O36+MAX(P36,0)+MAX(Q36,0)+R36+BS36)/U36)-Paramètres!$B$11,0)*Paramètres!$C$12+MAX(MIN(Paramètres!$B$13,(O36+MAX(P36,0)+MAX(Q36,0)+R36+BS36)/U36)-Paramètres!$B$12,0)*Paramètres!$C$13)*U36</f>
        <v>39665.66893925659</v>
      </c>
      <c r="BW36" s="108">
        <f>MAX(BU36,BV36-Paramètres!$E$13*(T36-U36)*2)+MAX(P36,0)*Paramètres!$E$9+MAX(Q36,0)*Paramètres!$E$9+MAX((R36+BS36)*Paramètres!$E$12,Paramètres!$E$11)</f>
        <v>40810.66893925659</v>
      </c>
      <c r="BX36" s="108">
        <f t="shared" si="17"/>
        <v>0</v>
      </c>
      <c r="BY36" s="149">
        <f>(C36-SUM(D36:N36)+MIN(BY35,0))*(B36&lt;=Simulation!$F$24)</f>
        <v>0</v>
      </c>
      <c r="BZ36" s="108">
        <f>(Simulation!$F$22-(Simulation!$C$13-SUM($I$8:$N$37)))*(B36=Simulation!$F$24)</f>
        <v>0</v>
      </c>
      <c r="CA36" s="108">
        <f>MAX(MIN(BY36+BZ36,Paramètres!$B$17)*Paramètres!$C$17+MAX(MIN(BY36+BZ36,Paramètres!$B$18)-Paramètres!$B$17,0)*Paramètres!$C$18+MAX(MIN(BY36+BZ36,Paramètres!$B$19)-Paramètres!$B$18,0)*Paramètres!$C$19,0)</f>
        <v>0</v>
      </c>
      <c r="CB36" s="150">
        <f>MAX(MIN(BY36,Paramètres!$B$17)*Paramètres!$C$17+MAX(MIN(BY36,Paramètres!$B$18)-Paramètres!$B$17,0)*Paramètres!$C$18+MAX(MIN(BY36,Paramètres!$B$19)-Paramètres!$B$18,0)*Paramètres!$C$19,0)</f>
        <v>0</v>
      </c>
      <c r="CC36" s="108">
        <f>(C36-SUM(D36:N36)+MIN(CC35,0))*(B36&lt;=Simulation!$F$24)</f>
        <v>0</v>
      </c>
      <c r="CD36" s="108">
        <f>(Simulation!$F$22-(Simulation!$C$13-SUM($I$8:$N$37)))*(B36=Simulation!$F$24)</f>
        <v>0</v>
      </c>
      <c r="CE36" s="108">
        <f>MAX(MIN(CC36+CD36,Paramètres!$B$17)*Paramètres!$C$17+MAX(MIN(CC36+CD36,Paramètres!$B$18)-Paramètres!$B$17,0)*Paramètres!$C$18+MAX(MIN(CC36+CD36,Paramètres!$B$19)-Paramètres!$B$18,0)*Paramètres!$C$19,0)</f>
        <v>0</v>
      </c>
      <c r="CF36" s="108">
        <f>MAX(MIN(CC36,Paramètres!$B$17)*Paramètres!$C$17+MAX(MIN(CC36,Paramètres!$B$18)-Paramètres!$B$17,0)*Paramètres!$C$18+MAX(MIN(CC36,Paramètres!$B$19)-Paramètres!$B$18,0)*Paramètres!$C$19,0)</f>
        <v>0</v>
      </c>
      <c r="CG36" s="108">
        <f>MAX(CC36+CD36-CF36,0)*(1-Paramètres!$E$17)*Paramètres!$E$18</f>
        <v>0</v>
      </c>
      <c r="CH36" s="54">
        <f>MAX(CC36-CF36,0)*(1-Paramètres!$E$17)*Paramètres!$E$18</f>
        <v>0</v>
      </c>
      <c r="CI36" s="127">
        <f ca="1">OFFSET($AC36,0,VLOOKUP(Simulation!$C$27,Simulation!$Q$5:$R$14,2,FALSE))</f>
        <v>0</v>
      </c>
    </row>
    <row r="37" spans="2:87" x14ac:dyDescent="0.2">
      <c r="B37" s="43">
        <f t="shared" si="0"/>
        <v>30</v>
      </c>
      <c r="C37" s="151">
        <f>SUMPRODUCT('Détail trésorerie'!$H$8:$H$367*('Détail trésorerie'!$B$8:$B$367&gt;$B36*12)*('Détail trésorerie'!$B$8:$B$367&lt;=$B37*12))</f>
        <v>0</v>
      </c>
      <c r="D37" s="151">
        <f>SUMPRODUCT('Détail trésorerie'!$E$8:$E$367*('Détail trésorerie'!$B$8:$B$367&gt;$B36*12)*('Détail trésorerie'!$B$8:$B$367&lt;=$B37*12))</f>
        <v>0</v>
      </c>
      <c r="E37" s="152">
        <f>SUMPRODUCT('Détail trésorerie'!$J$8:$J$367*('Détail trésorerie'!$B$8:$B$367&gt;$B36*12)*('Détail trésorerie'!$B$8:$B$367&lt;=$B37*12))</f>
        <v>0</v>
      </c>
      <c r="F37" s="152">
        <f>SUMPRODUCT('Détail trésorerie'!$K$8:$K$367*('Détail trésorerie'!$B$8:$B$367&gt;$B36*12)*('Détail trésorerie'!$B$8:$B$367&lt;=$B37*12))</f>
        <v>0</v>
      </c>
      <c r="G37" s="152">
        <f>SUMPRODUCT('Détail trésorerie'!$L$8:$L$367*('Détail trésorerie'!$B$8:$B$367&gt;$B36*12)*('Détail trésorerie'!$B$8:$B$367&lt;=$B37*12))</f>
        <v>0</v>
      </c>
      <c r="H37" s="153">
        <f>SUMPRODUCT('Détail trésorerie'!$M$8:$M$367*('Détail trésorerie'!$B$8:$B$367&gt;$B36*12)*('Détail trésorerie'!$B$8:$B$367&lt;=$B37*12))</f>
        <v>0</v>
      </c>
      <c r="I37" s="128">
        <f>MAX(MIN(Paramètres!$E$3*Simulation!$C$7*Paramètres!$C$3,Simulation!$C$7*Paramètres!$E$3-SUM(I$8:$I36)),0)*(B37&lt;=Simulation!$F$24)</f>
        <v>0</v>
      </c>
      <c r="J37" s="109">
        <f>MAX(MIN(Paramètres!$E$4*Simulation!$C$7*Paramètres!$C$4,Simulation!$C$7*Paramètres!$E$4-SUM($J$8:J36)),0)*(B37&lt;=Simulation!$F$24)</f>
        <v>0</v>
      </c>
      <c r="K37" s="109">
        <f>MAX(MIN(Paramètres!$E$5*Simulation!$C$8*Paramètres!$C$5,Paramètres!$E$5*Simulation!$C$8-SUM($K$8:K36)),0)*(B37&lt;=Simulation!$F$24)</f>
        <v>0</v>
      </c>
      <c r="L37" s="109">
        <v>0</v>
      </c>
      <c r="M37" s="109">
        <v>0</v>
      </c>
      <c r="N37" s="109">
        <f>MAX(MIN(Paramètres!$C$6*(Simulation!$C$10+Simulation!$C$11+Simulation!$C$12),(Simulation!$C$10+Simulation!$C$11+Simulation!$C$12)-SUM(N$8:N36)),0)*(B37&lt;=Simulation!$F$24)</f>
        <v>0</v>
      </c>
      <c r="O37" s="154">
        <f>25000*8/2*(1+Emprunteur!$F$7)^$B37</f>
        <v>134784.89153329062</v>
      </c>
      <c r="P37" s="166">
        <f>0*(1+Emprunteur!$F$8)^$B37</f>
        <v>0</v>
      </c>
      <c r="Q37" s="166">
        <f>0*(1+Emprunteur!$F$9)^$B37</f>
        <v>0</v>
      </c>
      <c r="R37" s="166">
        <f>0*(1+Emprunteur!$F$10)^$B37</f>
        <v>0</v>
      </c>
      <c r="S37" s="109">
        <f t="shared" ref="S37" si="24">O37+MAX(P37,0)+MAX(Q37,0)+R37</f>
        <v>134784.89153329062</v>
      </c>
      <c r="T37" s="158">
        <v>1</v>
      </c>
      <c r="U37" s="158">
        <v>1</v>
      </c>
      <c r="V37" s="109">
        <f>(MAX(MIN(Paramètres!$B$9,S37/T37),0)*Paramètres!$C$9+MAX(MIN(Paramètres!$B$10,S37/T37)-Paramètres!$B$9,0)*Paramètres!$C$10+MAX(MIN(Paramètres!$B$11,S37/T37)-Paramètres!$B$10,0)*Paramètres!$C$11+MAX(MIN(Paramètres!$B$12,S37/T37)-Paramètres!$B$11,0)*Paramètres!$C$12+MAX(MIN(Paramètres!$B$13,S37/T37)-Paramètres!$B$12,0)*Paramètres!$C$13)*T37</f>
        <v>40212.815528649153</v>
      </c>
      <c r="W37" s="109">
        <f>(MAX(MIN(Paramètres!$B$9,S37/U37),0)*Paramètres!$C$9+MAX(MIN(Paramètres!$B$10,S37/U37)-Paramètres!$B$9,0)*Paramètres!$C$10+MAX(MIN(Paramètres!$B$11,S37/U37)-Paramètres!$B$10,0)*Paramètres!$C$11+MAX(MIN(Paramètres!$B$12,S37/U37)-Paramètres!$B$11,0)*Paramètres!$C$12+MAX(MIN(Paramètres!$B$13,S37/U37)-Paramètres!$B$12,0)*Paramètres!$C$13)*U37</f>
        <v>40212.815528649153</v>
      </c>
      <c r="X37" s="109">
        <f>MAX(V37,W37-Paramètres!$E$13*(T37-U37)*2)+MAX(P37,0)*Paramètres!$E$9+MAX(Q37,0)*Paramètres!$E$9+MAX(R37*Paramètres!$E$12,Paramètres!$E$11)</f>
        <v>41357.815528649153</v>
      </c>
      <c r="Y37" s="128">
        <f>(C37-SUM(D37:N37)+MIN(Y36,0))*(B37&lt;=Simulation!$F$24)</f>
        <v>0</v>
      </c>
      <c r="Z37" s="109">
        <f>(MAX(MIN(Paramètres!$B$9,(O37+P37+MAX(Q37+Y37,0)+R37)/T37),0)*Paramètres!$C$9+MAX(MIN(Paramètres!$B$10,(O37+P37+MAX(Q37+Y37,0)+R37)/T37)-Paramètres!$B$9,0)*Paramètres!$C$10+MAX(MIN(Paramètres!$B$11,(O37+P37+MAX(Q37+Y37,0)+R37)/T37)-Paramètres!$B$10,0)*Paramètres!$C$11+MAX(MIN(Paramètres!$B$12,(O37+P37+MAX(Q37+Y37,0)+R37)/T37)-Paramètres!$B$11,0)*Paramètres!$C$12+MAX(MIN(Paramètres!$B$13,(O37+P37+MAX(Q37+Y37,0)+R37)/T37)-Paramètres!$B$12,0)*Paramètres!$C$13)*T37</f>
        <v>40212.815528649153</v>
      </c>
      <c r="AA37" s="109">
        <f>(MAX(MIN(Paramètres!$B$9,(O37+MAX(Y37,0))/U37),0)*Paramètres!$C$9+MAX(MIN(Paramètres!$B$10,(O37+MAX(Y37,0))/U37)-Paramètres!$B$9,0)*Paramètres!$C$10+MAX(MIN(Paramètres!$B$11,(O37+MAX(Y37,0))/U37)-Paramètres!$B$10,0)*Paramètres!$C$11+MAX(MIN(Paramètres!$B$12,(O37+MAX(Y37,0))/U37)-Paramètres!$B$11,0)*Paramètres!$C$12+MAX(MIN(Paramètres!$B$13,(O37+MAX(Y37,0))/U37)-Paramètres!$B$12,0)*Paramètres!$C$13)*U37</f>
        <v>40212.815528649153</v>
      </c>
      <c r="AB37" s="109">
        <f>MAX(Z37,AA37-Paramètres!$E$13*(T37-U37)*2)+MAX(P37,0)*Paramètres!$E$9+MAX(Q37+Y37,0)*Paramètres!$E$9+MAX(R37*Paramètres!$E$12,Paramètres!$E$11)</f>
        <v>41357.815528649153</v>
      </c>
      <c r="AC37" s="109">
        <f t="shared" si="6"/>
        <v>0</v>
      </c>
      <c r="AD37" s="155">
        <f t="shared" si="1"/>
        <v>0</v>
      </c>
      <c r="AE37" s="109">
        <f>(MAX(MIN(Paramètres!$B$9,(O37+MAX(P37,0)+MAX(Q37+AD37,0)+R37)/T37),0)*Paramètres!$C$9+MAX(MIN(Paramètres!$B$10,(O37+MAX(P37,0)+MAX(Q37+AD37,0)+R37)/T37)-Paramètres!$B$9,0)*Paramètres!$C$10+MAX(MIN(Paramètres!$B$11,(O37+MAX(P37,0)+MAX(Q37+AD37,0)+R37)/T37)-Paramètres!$B$10,0)*Paramètres!$C$11+MAX(MIN(Paramètres!$B$12,(O37+MAX(P37,0)+MAX(Q37+AD37,0)+R37)/T37)-Paramètres!$B$11,0)*Paramètres!$C$12+MAX(MIN(Paramètres!$B$13,(O37+MAX(P37,0)+MAX(Q37+AD37,0)+R37)/T37)-Paramètres!$B$12,0)*Paramètres!$C$13)*T37</f>
        <v>40212.815528649153</v>
      </c>
      <c r="AF37" s="109">
        <f>(MAX(MIN(Paramètres!$B$9,(O37+MAX(P37,0)+MAX(Q37+AD37,0)+R37)/U37),0)*Paramètres!$C$9+MAX(MIN(Paramètres!$B$10,(O37+MAX(P37,0)+MAX(Q37+AD37,0)+R37)/U37)-Paramètres!$B$9,0)*Paramètres!$C$10+MAX(MIN(Paramètres!$B$11,(O37+MAX(P37,0)+MAX(Q37+AD37,0)+R37)/U37)-Paramètres!$B$10,0)*Paramètres!$C$11+MAX(MIN(Paramètres!$B$12,(O37+MAX(P37,0)+MAX(Q37+AD37,0)+R37)/U37)-Paramètres!$B$11,0)*Paramètres!$C$12+MAX(MIN(Paramètres!$B$13,(O37+MAX(P37,0)+MAX(Q37+AD37,0)+R37)/U37)-Paramètres!$B$12,0)*Paramètres!$C$13)*U37</f>
        <v>40212.815528649153</v>
      </c>
      <c r="AG37" s="109">
        <f>MAX(AE37,AF37-Paramètres!$E$13*(T37-U37)*2)+MAX(P37,0)*Paramètres!$E$9+MAX(Q37+AD37,0)*Paramètres!$E$9+MAX(R37*Paramètres!$E$12,Paramètres!$E$11)</f>
        <v>41357.815528649153</v>
      </c>
      <c r="AH37" s="156">
        <f t="shared" si="7"/>
        <v>0</v>
      </c>
      <c r="AI37" s="155">
        <f t="shared" si="8"/>
        <v>0</v>
      </c>
      <c r="AJ37" s="109">
        <f>(MAX(MIN(Paramètres!$B$9,(O37+MAX(P37,0)+MAX(Q37+AI37,0)+R37)/T37),0)*Paramètres!$C$9+MAX(MIN(Paramètres!$B$10,(O37+MAX(P37,0)+MAX(Q37+AI37,0)+R37)/T37)-Paramètres!$B$9,0)*Paramètres!$C$10+MAX(MIN(Paramètres!$B$11,(O37+MAX(P37,0)+MAX(Q37+AI37,0)+R37)/T37)-Paramètres!$B$10,0)*Paramètres!$C$11+MAX(MIN(Paramètres!$B$12,(O37+MAX(P37,0)+MAX(Q37+AI37,0)+R37)/T37)-Paramètres!$B$11,0)*Paramètres!$C$12+MAX(MIN(Paramètres!$B$13,(O37+MAX(P37,0)+MAX(Q37+AI37,0)+R37)/T37)-Paramètres!$B$12,0)*Paramètres!$C$13)*T37</f>
        <v>40212.815528649153</v>
      </c>
      <c r="AK37" s="109">
        <f>(MAX(MIN(Paramètres!$B$9,(O37+MAX(P37,0)+MAX(Q37+AI37,0)+R37)/U37),0)*Paramètres!$C$9+MAX(MIN(Paramètres!$B$10,(O37+MAX(P37,0)+MAX(Q37+AI37,0)+R37)/U37)-Paramètres!$B$9,0)*Paramètres!$C$10+MAX(MIN(Paramètres!$B$11,(O37+MAX(P37,0)+MAX(Q37+AI37,0)+R37)/U37)-Paramètres!$B$10,0)*Paramètres!$C$11+MAX(MIN(Paramètres!$B$12,(O37+MAX(P37,0)+MAX(Q37+AI37,0)+R37)/U37)-Paramètres!$B$11,0)*Paramètres!$C$12+MAX(MIN(Paramètres!$B$13,(O37+MAX(P37,0)+MAX(Q37+AI37,0)+R37)/U37)-Paramètres!$B$12,0)*Paramètres!$C$13)*U37</f>
        <v>40212.815528649153</v>
      </c>
      <c r="AL37" s="109">
        <f>MAX(AJ37,AK37-Paramètres!$E$13*(T37-U37)*2)+MAX(P37,0)*Paramètres!$E$9+MAX(Q37+AI37,0)*Paramètres!$E$9+MAX(R37*Paramètres!$E$12,Paramètres!$E$11)</f>
        <v>41357.815528649153</v>
      </c>
      <c r="AM37" s="156">
        <f>MAX(AL37-11%/9*Simulation!$C$7*(B37&lt;=9),0)-X37</f>
        <v>0</v>
      </c>
      <c r="AN37" s="155">
        <f>MAX(MAX(C37-D37,0)-SUM(E37:H37),-MIN(SUM(O37:R37),Paramètres!$E$19+MAX(P37,0)))</f>
        <v>0</v>
      </c>
      <c r="AO37" s="109">
        <f t="shared" si="18"/>
        <v>0</v>
      </c>
      <c r="AP37" s="109">
        <f t="shared" si="22"/>
        <v>0</v>
      </c>
      <c r="AQ37" s="109">
        <f t="shared" si="9"/>
        <v>0</v>
      </c>
      <c r="AR37" s="109">
        <f t="shared" si="10"/>
        <v>0</v>
      </c>
      <c r="AS37" s="109">
        <f>(MAX(MIN(Paramètres!$B$9,(O37+P37+AQ37+MAX(Q37,0)+R37)/T37),0)*Paramètres!$C$9+MAX(MIN(Paramètres!$B$10,(O37+P37+AQ37+MAX(Q37,0)+R37)/T37)-Paramètres!$B$9,0)*Paramètres!$C$10+MAX(MIN(Paramètres!$B$11,(O37+P37+AQ37+MAX(Q37,0)+R37)/T37)-Paramètres!$B$10,0)*Paramètres!$C$11+MAX(MIN(Paramètres!$B$12,(O37+P37+AQ37+MAX(Q37,0)+R37)/T37)-Paramètres!$B$11,0)*Paramètres!$C$12+MAX(MIN(Paramètres!$B$13,(O37+P37+AQ37+MAX(Q37,0)+R37)/T37)-Paramètres!$B$12,0)*Paramètres!$C$13)*T37</f>
        <v>40212.815528649153</v>
      </c>
      <c r="AT37" s="109">
        <f>(MAX(MIN(Paramètres!$B$9,(O37+P37+AQ37+MAX(Q37,0)+R37)/U37),0)*Paramètres!$C$9+MAX(MIN(Paramètres!$B$10,(O37+P37+AQ37+MAX(Q37,0)+R37)/U37)-Paramètres!$B$9,0)*Paramètres!$C$10+MAX(MIN(Paramètres!$B$11,(O37+P37+AQ37+MAX(Q37,0)+R37)/U37)-Paramètres!$B$10,0)*Paramètres!$C$11+MAX(MIN(Paramètres!$B$12,(O37+P37+AQ37+MAX(Q37,0)+R37)/U37)-Paramètres!$B$11,0)*Paramètres!$C$12+MAX(MIN(Paramètres!$B$13,(O37+P37+AQ37+MAX(Q37,0)+R37)/U37)-Paramètres!$B$12,0)*Paramètres!$C$13)*U37</f>
        <v>40212.815528649153</v>
      </c>
      <c r="AU37" s="109">
        <f>MAX(AS37,AT37-Paramètres!$E$13*(T37-U37)*2)+MAX(P37+AQ37,0)*Paramètres!$E$9+MAX(Q37,0)*Paramètres!$E$9+MAX(R37*Paramètres!$E$12,Paramètres!$E$11)</f>
        <v>41357.815528649153</v>
      </c>
      <c r="AV37" s="156">
        <f t="shared" si="2"/>
        <v>0</v>
      </c>
      <c r="AW37" s="109">
        <f t="shared" si="3"/>
        <v>0</v>
      </c>
      <c r="AX37" s="109">
        <f>(MAX(MIN(Paramètres!$B$9,(O37+MAX(P37+AW37,0)+MAX(Q37,0)+R37)/T37),0)*Paramètres!$C$9+MAX(MIN(Paramètres!$B$10,(O37+MAX(P37+AW37,0)+MAX(Q37,0)+R37)/T37)-Paramètres!$B$9,0)*Paramètres!$C$10+MAX(MIN(Paramètres!$B$11,(O37+MAX(P37+AW37,0)+MAX(Q37,0)+R37)/T37)-Paramètres!$B$10,0)*Paramètres!$C$11+MAX(MIN(Paramètres!$B$12,(O37+MAX(P37+AW37,0)+MAX(Q37,0)+R37)/T37)-Paramètres!$B$11,0)*Paramètres!$C$12+MAX(MIN(Paramètres!$B$13,(O37+MAX(P37+AW37,0)+MAX(Q37,0)+R37)/T37)-Paramètres!$B$12,0)*Paramètres!$C$13)*T37</f>
        <v>40212.815528649153</v>
      </c>
      <c r="AY37" s="109">
        <f>(MAX(MIN(Paramètres!$B$9,(O37+MAX(P37+AW37,0)+MAX(Q37,0)+R37)/U37),0)*Paramètres!$C$9+MAX(MIN(Paramètres!$B$10,(O37+MAX(P37+AW37,0)+MAX(Q37,0)+R37)/U37)-Paramètres!$B$9,0)*Paramètres!$C$10+MAX(MIN(Paramètres!$B$11,(O37+MAX(P37+AW37,0)+MAX(Q37,0)+R37)/U37)-Paramètres!$B$10,0)*Paramètres!$C$11+MAX(MIN(Paramètres!$B$12,(O37+MAX(P37+AW37,0)+MAX(Q37,0)+R37)/U37)-Paramètres!$B$11,0)*Paramètres!$C$12+MAX(MIN(Paramètres!$B$13,(O37+MAX(P37+AW37,0)+MAX(Q37,0)+R37)/U37)-Paramètres!$B$12,0)*Paramètres!$C$13)*U37</f>
        <v>40212.815528649153</v>
      </c>
      <c r="AZ37" s="109">
        <f>MAX(AX37,AY37-Paramètres!$E$13*(T37-U37)*2)+MAX(P37+AW37,0)*Paramètres!$E$9+MAX(Q37,0)*Paramètres!$E$9+MAX(R37*Paramètres!$E$12,Paramètres!$E$11)</f>
        <v>41357.815528649153</v>
      </c>
      <c r="BA37" s="109">
        <f t="shared" si="4"/>
        <v>0</v>
      </c>
      <c r="BB37" s="155">
        <f>MAX(MAX(C37-D37,0)-SUM(E37:H37),-MIN(SUM(O37:R37),Paramètres!$E$19+MAX(P37,0)))</f>
        <v>0</v>
      </c>
      <c r="BC37" s="109">
        <f t="shared" si="20"/>
        <v>0</v>
      </c>
      <c r="BD37" s="109">
        <f t="shared" si="23"/>
        <v>0</v>
      </c>
      <c r="BE37" s="109">
        <f t="shared" si="11"/>
        <v>0</v>
      </c>
      <c r="BF37" s="109">
        <f t="shared" si="12"/>
        <v>0</v>
      </c>
      <c r="BG37" s="109">
        <f>(MAX(MIN(Paramètres!$B$9,(O37+P37+BE37+MAX(Q37,0)+R37)/T37),0)*Paramètres!$C$9+MAX(MIN(Paramètres!$B$10,(O37+P37+BE37+MAX(Q37,0)+R37)/T37)-Paramètres!$B$9,0)*Paramètres!$C$10+MAX(MIN(Paramètres!$B$11,(O37+P37+BE37+MAX(Q37,0)+R37)/T37)-Paramètres!$B$10,0)*Paramètres!$C$11+MAX(MIN(Paramètres!$B$12,(O37+P37+BE37+MAX(Q37,0)+R37)/T37)-Paramètres!$B$11,0)*Paramètres!$C$12+MAX(MIN(Paramètres!$B$13,(O37+P37+BE37+MAX(Q37,0)+R37)/T37)-Paramètres!$B$12,0)*Paramètres!$C$13)*T37</f>
        <v>40212.815528649153</v>
      </c>
      <c r="BH37" s="109">
        <f>(MAX(MIN(Paramètres!$B$9,(O37+P37+BE37+MAX(Q37,0)+R37)/U37),0)*Paramètres!$C$9+MAX(MIN(Paramètres!$B$10,(O37+P37+BE37+MAX(Q37,0)+R37)/U37)-Paramètres!$B$9,0)*Paramètres!$C$10+MAX(MIN(Paramètres!$B$11,(O37+P37+BE37+MAX(Q37,0)+R37)/U37)-Paramètres!$B$10,0)*Paramètres!$C$11+MAX(MIN(Paramètres!$B$12,(O37+P37+BE37+MAX(Q37,0)+R37)/U37)-Paramètres!$B$11,0)*Paramètres!$C$12+MAX(MIN(Paramètres!$B$13,(O37+P37+BE37+MAX(Q37,0)+R37)/U37)-Paramètres!$B$12,0)*Paramètres!$C$13)*U37</f>
        <v>40212.815528649153</v>
      </c>
      <c r="BI37" s="109">
        <f>MAX(BG37,BH37-Paramètres!$E$13*(T37-U37)*2)+MAX(P37+BE37,0)*Paramètres!$E$9+MAX(Q37,0)*Paramètres!$E$9+MAX(R37*Paramètres!$E$12,Paramètres!$E$11)</f>
        <v>41357.815528649153</v>
      </c>
      <c r="BJ37" s="156">
        <f>MAX(BI37-IFERROR(VLOOKUP(B37,Paramètres!$B$28:$C$39,2,FALSE),0)*MIN(MIN((Simulation!$C$7+Simulation!$C$12+Simulation!$C$8+Simulation!$C$10)/Simulation!$C$28,Paramètres!$C$26)*Simulation!$C$28,Paramètres!$C$25),0)-X37</f>
        <v>0</v>
      </c>
      <c r="BK37" s="109">
        <f t="shared" si="13"/>
        <v>0</v>
      </c>
      <c r="BL37" s="109">
        <f>(MAX(MIN(Paramètres!$B$9,(O37+MAX(P37+BK37,0)+MAX(Q37,0)+R37)/T37),0)*Paramètres!$C$9+MAX(MIN(Paramètres!$B$10,(O37+MAX(P37+BK37,0)+MAX(Q37,0)+R37)/T37)-Paramètres!$B$9,0)*Paramètres!$C$10+MAX(MIN(Paramètres!$B$11,(O37+MAX(P37+BK37,0)+MAX(Q37,0)+R37)/T37)-Paramètres!$B$10,0)*Paramètres!$C$11+MAX(MIN(Paramètres!$B$12,(O37+MAX(P37+BK37,0)+MAX(Q37,0)+R37)/T37)-Paramètres!$B$11,0)*Paramètres!$C$12+MAX(MIN(Paramètres!$B$13,(O37+MAX(P37+BK37,0)+MAX(Q37,0)+R37)/T37)-Paramètres!$B$12,0)*Paramètres!$C$13)*T37</f>
        <v>40212.815528649153</v>
      </c>
      <c r="BM37" s="109">
        <f>(MAX(MIN(Paramètres!$B$9,(O37+MAX(P37+BK37,0)+MAX(Q37,0)+R37)/U37),0)*Paramètres!$C$9+MAX(MIN(Paramètres!$B$10,(O37+MAX(P37+BK37,0)+MAX(Q37,0)+R37)/U37)-Paramètres!$B$9,0)*Paramètres!$C$10+MAX(MIN(Paramètres!$B$11,(O37+MAX(P37+BK37,0)+MAX(Q37,0)+R37)/U37)-Paramètres!$B$10,0)*Paramètres!$C$11+MAX(MIN(Paramètres!$B$12,(O37+MAX(P37+BK37,0)+MAX(Q37,0)+R37)/U37)-Paramètres!$B$11,0)*Paramètres!$C$12+MAX(MIN(Paramètres!$B$13,(O37+MAX(P37+BK37,0)+MAX(Q37,0)+R37)/U37)-Paramètres!$B$12,0)*Paramètres!$C$13)*U37</f>
        <v>40212.815528649153</v>
      </c>
      <c r="BN37" s="109">
        <f>MAX(BL37,BM37-Paramètres!$E$13*(T37-U37)*2)+MAX(P37+BK37,0)*Paramètres!$E$9+MAX(Q37,0)*Paramètres!$E$9+MAX(R37*Paramètres!$E$12,Paramètres!$E$11)</f>
        <v>41357.815528649153</v>
      </c>
      <c r="BO37" s="109">
        <f>MAX(BN37-IFERROR(VLOOKUP(B37,Paramètres!$B$28:$C$39,2,FALSE),0)*MIN(MIN((Simulation!$C$7+Simulation!$C$12+Simulation!$C$8+Simulation!$C$10)/Simulation!$C$28,Paramètres!$C$26)*Simulation!$C$28,Paramètres!$C$25),0)-X37</f>
        <v>0</v>
      </c>
      <c r="BP37" s="128">
        <f t="shared" si="14"/>
        <v>0</v>
      </c>
      <c r="BQ37" s="109">
        <f t="shared" si="15"/>
        <v>0</v>
      </c>
      <c r="BR37" s="109">
        <f t="shared" si="21"/>
        <v>0</v>
      </c>
      <c r="BS37" s="109">
        <f t="shared" si="19"/>
        <v>0</v>
      </c>
      <c r="BT37" s="109">
        <f t="shared" si="16"/>
        <v>0</v>
      </c>
      <c r="BU37" s="109">
        <f>(MAX(MIN(Paramètres!$B$9,(O37+MAX(P37,0)+MAX(Q37,0)+R37+BS37)/T37),0)*Paramètres!$C$9+MAX(MIN(Paramètres!$B$10,(O37+MAX(P37,0)+MAX(Q37,0)+R37+BS37)/T37)-Paramètres!$B$9,0)*Paramètres!$C$10+MAX(MIN(Paramètres!$B$11,(O37+MAX(P37,0)+MAX(Q37,0)+R37+BS37)/T37)-Paramètres!$B$10,0)*Paramètres!$C$11+MAX(MIN(Paramètres!$B$12,(O37+MAX(P37,0)+MAX(Q37,0)+R37+BS37)/T37)-Paramètres!$B$11,0)*Paramètres!$C$12+MAX(MIN(Paramètres!$B$13,(O37+MAX(P37,0)+MAX(Q37,0)+R37+BS37)/T37)-Paramètres!$B$12,0)*Paramètres!$C$13)*T37</f>
        <v>40212.815528649153</v>
      </c>
      <c r="BV37" s="109">
        <f>(MAX(MIN(Paramètres!$B$9,(O37+MAX(P37,0)+MAX(Q37,0)+R37+BS37)/U37),0)*Paramètres!$C$9+MAX(MIN(Paramètres!$B$10,(O37+MAX(P37,0)+MAX(Q37,0)+R37+BS37)/U37)-Paramètres!$B$9,0)*Paramètres!$C$10+MAX(MIN(Paramètres!$B$11,(O37+MAX(P37,0)+MAX(Q37,0)+R37+BS37)/U37)-Paramètres!$B$10,0)*Paramètres!$C$11+MAX(MIN(Paramètres!$B$12,(O37+MAX(P37,0)+MAX(Q37,0)+R37+BS37)/U37)-Paramètres!$B$11,0)*Paramètres!$C$12+MAX(MIN(Paramètres!$B$13,(O37+MAX(P37,0)+MAX(Q37,0)+R37+BS37)/U37)-Paramètres!$B$12,0)*Paramètres!$C$13)*U37</f>
        <v>40212.815528649153</v>
      </c>
      <c r="BW37" s="109">
        <f>MAX(BU37,BV37-Paramètres!$E$13*(T37-U37)*2)+MAX(P37,0)*Paramètres!$E$9+MAX(Q37,0)*Paramètres!$E$9+MAX((R37+BS37)*Paramètres!$E$12,Paramètres!$E$11)</f>
        <v>41357.815528649153</v>
      </c>
      <c r="BX37" s="109">
        <f t="shared" si="17"/>
        <v>0</v>
      </c>
      <c r="BY37" s="155">
        <f>(C37-SUM(D37:N37)+MIN(BY36,0))*(B37&lt;=Simulation!$F$24)</f>
        <v>0</v>
      </c>
      <c r="BZ37" s="109">
        <f>(Simulation!$F$22-(Simulation!$C$13-SUM($I$8:$N$37)))*(B37=Simulation!$F$24)</f>
        <v>0</v>
      </c>
      <c r="CA37" s="109">
        <f>MAX(MIN(BY37+BZ37,Paramètres!$B$17)*Paramètres!$C$17+MAX(MIN(BY37+BZ37,Paramètres!$B$18)-Paramètres!$B$17,0)*Paramètres!$C$18+MAX(MIN(BY37+BZ37,Paramètres!$B$19)-Paramètres!$B$18,0)*Paramètres!$C$19,0)</f>
        <v>0</v>
      </c>
      <c r="CB37" s="156">
        <f>MAX(MIN(BY37,Paramètres!$B$17)*Paramètres!$C$17+MAX(MIN(BY37,Paramètres!$B$18)-Paramètres!$B$17,0)*Paramètres!$C$18+MAX(MIN(BY37,Paramètres!$B$19)-Paramètres!$B$18,0)*Paramètres!$C$19,0)</f>
        <v>0</v>
      </c>
      <c r="CC37" s="109">
        <f>(C37-SUM(D37:N37)+MIN(CC36,0))*(B37&lt;=Simulation!$F$24)</f>
        <v>0</v>
      </c>
      <c r="CD37" s="109">
        <f>(Simulation!$F$22-(Simulation!$C$13-SUM($I$8:$N$37)))*(B37=Simulation!$F$24)</f>
        <v>0</v>
      </c>
      <c r="CE37" s="109">
        <f>MAX(MIN(CC37+CD37,Paramètres!$B$17)*Paramètres!$C$17+MAX(MIN(CC37+CD37,Paramètres!$B$18)-Paramètres!$B$17,0)*Paramètres!$C$18+MAX(MIN(CC37+CD37,Paramètres!$B$19)-Paramètres!$B$18,0)*Paramètres!$C$19,0)</f>
        <v>0</v>
      </c>
      <c r="CF37" s="109">
        <f>MAX(MIN(CC37,Paramètres!$B$17)*Paramètres!$C$17+MAX(MIN(CC37,Paramètres!$B$18)-Paramètres!$B$17,0)*Paramètres!$C$18+MAX(MIN(CC37,Paramètres!$B$19)-Paramètres!$B$18,0)*Paramètres!$C$19,0)</f>
        <v>0</v>
      </c>
      <c r="CG37" s="109">
        <f>MAX(CC37+CD37-CF37,0)*(1-Paramètres!$E$17)*Paramètres!$E$18</f>
        <v>0</v>
      </c>
      <c r="CH37" s="55">
        <f>MAX(CC37-CF37,0)*(1-Paramètres!$E$17)*Paramètres!$E$18</f>
        <v>0</v>
      </c>
      <c r="CI37" s="129">
        <f ca="1">OFFSET($AC37,0,VLOOKUP(Simulation!$C$27,Simulation!$Q$5:$R$14,2,FALSE))</f>
        <v>0</v>
      </c>
    </row>
    <row r="40" spans="2:87" x14ac:dyDescent="0.2">
      <c r="AQ40" s="50"/>
    </row>
    <row r="41" spans="2:87" x14ac:dyDescent="0.2">
      <c r="L41" s="4"/>
    </row>
  </sheetData>
  <sheetProtection algorithmName="SHA-512" hashValue="JsLqU9LCmol/3km+gh1r7d9xggYxU3c/s5bJfesRsLV8Raum799KYmqafKTlQKURHqtTDBZxT3GlZs8OPw0EQA==" saltValue="oSqoRbvFR88NHmsMvWAbWQ==" spinCount="100000" sheet="1" objects="1" scenarios="1" selectLockedCells="1"/>
  <mergeCells count="13">
    <mergeCell ref="BB5:BJ5"/>
    <mergeCell ref="BK5:BO5"/>
    <mergeCell ref="BY5:CB5"/>
    <mergeCell ref="CC5:CH5"/>
    <mergeCell ref="AN5:AV5"/>
    <mergeCell ref="AW5:BA5"/>
    <mergeCell ref="BP5:BX5"/>
    <mergeCell ref="AI5:AM5"/>
    <mergeCell ref="D5:H5"/>
    <mergeCell ref="I5:N5"/>
    <mergeCell ref="Y5:AC5"/>
    <mergeCell ref="AD5:AH5"/>
    <mergeCell ref="O5:X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26add4a-6cf4-4180-aca7-e5403821dc4e" xsi:nil="true"/>
    <lcf76f155ced4ddcb4097134ff3c332f xmlns="d1dbfd1b-4eca-4cd9-9a88-cb771c820e1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A2146F2A38C846BECC8BF3D4DF6ED0" ma:contentTypeVersion="18" ma:contentTypeDescription="Crée un document." ma:contentTypeScope="" ma:versionID="a1e0b0b156accb0b0bdccadf7b884d02">
  <xsd:schema xmlns:xsd="http://www.w3.org/2001/XMLSchema" xmlns:xs="http://www.w3.org/2001/XMLSchema" xmlns:p="http://schemas.microsoft.com/office/2006/metadata/properties" xmlns:ns2="d1dbfd1b-4eca-4cd9-9a88-cb771c820e14" xmlns:ns3="826add4a-6cf4-4180-aca7-e5403821dc4e" targetNamespace="http://schemas.microsoft.com/office/2006/metadata/properties" ma:root="true" ma:fieldsID="0b2f10d6a60aea487d34f3ac182b7d87" ns2:_="" ns3:_="">
    <xsd:import namespace="d1dbfd1b-4eca-4cd9-9a88-cb771c820e14"/>
    <xsd:import namespace="826add4a-6cf4-4180-aca7-e5403821dc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dbfd1b-4eca-4cd9-9a88-cb771c820e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22d203e7-e304-4d07-8bfd-c4161bda8d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6add4a-6cf4-4180-aca7-e5403821dc4e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f7aaebd-0757-4ea4-a1e2-f3b2c5b0e44a}" ma:internalName="TaxCatchAll" ma:showField="CatchAllData" ma:web="826add4a-6cf4-4180-aca7-e5403821dc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0118E3-63A6-49DB-8A72-CD7C78CB1AEE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d1dbfd1b-4eca-4cd9-9a88-cb771c820e14"/>
    <ds:schemaRef ds:uri="http://schemas.microsoft.com/office/infopath/2007/PartnerControls"/>
    <ds:schemaRef ds:uri="826add4a-6cf4-4180-aca7-e5403821dc4e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9F2D017-D7D6-4F0F-AB4A-7FB2481CE5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dbfd1b-4eca-4cd9-9a88-cb771c820e14"/>
    <ds:schemaRef ds:uri="826add4a-6cf4-4180-aca7-e5403821dc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A67BE5E-8A0A-4DEB-8603-67D8450B5DF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</vt:i4>
      </vt:variant>
    </vt:vector>
  </HeadingPairs>
  <TitlesOfParts>
    <vt:vector size="8" baseType="lpstr">
      <vt:lpstr>Invest'Aide</vt:lpstr>
      <vt:lpstr>Paramètres</vt:lpstr>
      <vt:lpstr>Emprunteur</vt:lpstr>
      <vt:lpstr>Simulation</vt:lpstr>
      <vt:lpstr>Comparatif fiscal</vt:lpstr>
      <vt:lpstr>Détail trésorerie</vt:lpstr>
      <vt:lpstr>Détail fiscalité</vt:lpstr>
      <vt:lpstr>Simulation!Zone_d_impression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Cyrille</dc:creator>
  <cp:keywords/>
  <dc:description/>
  <cp:lastModifiedBy>Cyrille Chéry</cp:lastModifiedBy>
  <cp:revision/>
  <dcterms:created xsi:type="dcterms:W3CDTF">2015-12-20T16:36:09Z</dcterms:created>
  <dcterms:modified xsi:type="dcterms:W3CDTF">2024-08-13T09:59:40Z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0x01010013A2146F2A38C846BECC8BF3D4DF6ED0</vt:lpwstr>
  </property>
  <property fmtid="{D5CDD505-2E9C-101B-9397-08002B2CF9AE}" pid="3" name="MediaServiceImageTags">
    <vt:lpwstr/>
  </property>
</Properties>
</file>